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8185007A-5DD5-438D-9083-10BBD6859AE1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648" i="1" l="1"/>
  <c r="BA626" i="1"/>
  <c r="BQ535" i="1"/>
  <c r="BJ535" i="1"/>
  <c r="AU535" i="1"/>
  <c r="AT535" i="1"/>
  <c r="AS535" i="1"/>
  <c r="AM535" i="1"/>
  <c r="W535" i="1"/>
  <c r="U535" i="1"/>
  <c r="BQ534" i="1"/>
  <c r="BO534" i="1"/>
  <c r="BO535" i="1" s="1"/>
  <c r="BL534" i="1"/>
  <c r="BL535" i="1" s="1"/>
  <c r="BJ534" i="1"/>
  <c r="BI534" i="1"/>
  <c r="BI535" i="1" s="1"/>
  <c r="BH534" i="1"/>
  <c r="BH535" i="1" s="1"/>
  <c r="BF534" i="1"/>
  <c r="BF535" i="1" s="1"/>
  <c r="BE534" i="1"/>
  <c r="BD534" i="1"/>
  <c r="BD535" i="1" s="1"/>
  <c r="BC534" i="1"/>
  <c r="BC535" i="1" s="1"/>
  <c r="BB534" i="1"/>
  <c r="BB535" i="1" s="1"/>
  <c r="AZ534" i="1"/>
  <c r="AZ535" i="1" s="1"/>
  <c r="AY534" i="1"/>
  <c r="AY535" i="1" s="1"/>
  <c r="AW534" i="1"/>
  <c r="AW535" i="1" s="1"/>
  <c r="AU534" i="1"/>
  <c r="AT534" i="1"/>
  <c r="AS534" i="1"/>
  <c r="AR534" i="1"/>
  <c r="AQ534" i="1"/>
  <c r="AQ535" i="1" s="1"/>
  <c r="AP534" i="1"/>
  <c r="AP535" i="1" s="1"/>
  <c r="AO534" i="1"/>
  <c r="AO535" i="1" s="1"/>
  <c r="AN534" i="1"/>
  <c r="AN535" i="1" s="1"/>
  <c r="AM534" i="1"/>
  <c r="AK534" i="1"/>
  <c r="AK535" i="1" s="1"/>
  <c r="AJ534" i="1"/>
  <c r="AJ535" i="1" s="1"/>
  <c r="AF534" i="1"/>
  <c r="AF535" i="1" s="1"/>
  <c r="AD534" i="1"/>
  <c r="AD535" i="1" s="1"/>
  <c r="AB534" i="1"/>
  <c r="AB535" i="1" s="1"/>
  <c r="Y534" i="1"/>
  <c r="Y535" i="1" s="1"/>
  <c r="X534" i="1"/>
  <c r="X535" i="1" s="1"/>
  <c r="W534" i="1"/>
  <c r="U534" i="1"/>
  <c r="T534" i="1"/>
  <c r="T535" i="1" s="1"/>
  <c r="R534" i="1"/>
  <c r="R535" i="1" s="1"/>
  <c r="Q534" i="1"/>
  <c r="Q535" i="1" s="1"/>
  <c r="P534" i="1"/>
  <c r="P535" i="1" s="1"/>
  <c r="M534" i="1"/>
  <c r="M535" i="1" s="1"/>
  <c r="L534" i="1"/>
  <c r="L535" i="1" s="1"/>
  <c r="K534" i="1"/>
  <c r="K535" i="1" s="1"/>
  <c r="I534" i="1"/>
  <c r="I535" i="1" s="1"/>
  <c r="D534" i="1"/>
  <c r="D535" i="1" s="1"/>
  <c r="BE530" i="1"/>
  <c r="BA530" i="1"/>
  <c r="AL530" i="1"/>
  <c r="AR530" i="1" s="1"/>
  <c r="AG530" i="1"/>
  <c r="Z530" i="1"/>
  <c r="Z534" i="1" s="1"/>
  <c r="Z535" i="1" s="1"/>
  <c r="Q530" i="1"/>
  <c r="N530" i="1"/>
  <c r="N534" i="1" s="1"/>
  <c r="U485" i="3"/>
  <c r="U486" i="3" s="1"/>
  <c r="U487" i="3" s="1"/>
  <c r="U488" i="3" s="1"/>
  <c r="U489" i="3" s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U535" i="2"/>
  <c r="T535" i="2"/>
  <c r="S535" i="2"/>
  <c r="R535" i="2"/>
  <c r="Q535" i="2"/>
  <c r="P535" i="2"/>
  <c r="O535" i="2"/>
  <c r="N535" i="2"/>
  <c r="M535" i="2"/>
  <c r="L535" i="2"/>
  <c r="K535" i="2"/>
  <c r="J535" i="2"/>
  <c r="I535" i="2"/>
  <c r="H535" i="2"/>
  <c r="G535" i="2"/>
  <c r="E535" i="2"/>
  <c r="S531" i="2"/>
  <c r="W531" i="2"/>
  <c r="K531" i="2"/>
  <c r="S530" i="2"/>
  <c r="W530" i="2"/>
  <c r="U530" i="2"/>
  <c r="K530" i="2"/>
  <c r="Q530" i="2" s="1"/>
  <c r="S529" i="2"/>
  <c r="W529" i="2"/>
  <c r="U529" i="2"/>
  <c r="K529" i="2"/>
  <c r="M529" i="2" s="1"/>
  <c r="S528" i="2"/>
  <c r="U528" i="2"/>
  <c r="S527" i="2"/>
  <c r="S526" i="2"/>
  <c r="W528" i="2"/>
  <c r="K528" i="2"/>
  <c r="Q528" i="2" s="1"/>
  <c r="W527" i="2"/>
  <c r="K527" i="2"/>
  <c r="Q527" i="2" s="1"/>
  <c r="W526" i="2"/>
  <c r="K526" i="2"/>
  <c r="W525" i="2"/>
  <c r="S525" i="2"/>
  <c r="K525" i="2"/>
  <c r="Q525" i="2" s="1"/>
  <c r="C525" i="2"/>
  <c r="C526" i="2" s="1"/>
  <c r="C527" i="2" s="1"/>
  <c r="C528" i="2" s="1"/>
  <c r="C529" i="2" s="1"/>
  <c r="C530" i="2" s="1"/>
  <c r="C531" i="2" s="1"/>
  <c r="C532" i="2" s="1"/>
  <c r="AR535" i="1" l="1"/>
  <c r="BG526" i="1"/>
  <c r="N535" i="1"/>
  <c r="BE535" i="1"/>
  <c r="BK530" i="1"/>
  <c r="BK534" i="1" s="1"/>
  <c r="BA534" i="1"/>
  <c r="BA535" i="1" s="1"/>
  <c r="AL534" i="1"/>
  <c r="AL535" i="1" s="1"/>
  <c r="AG534" i="1"/>
  <c r="AG535" i="1" s="1"/>
  <c r="BG530" i="1"/>
  <c r="BG534" i="1" s="1"/>
  <c r="BG535" i="1" s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M525" i="2"/>
  <c r="BM530" i="1" l="1"/>
  <c r="BM534" i="1" s="1"/>
  <c r="BA625" i="1"/>
  <c r="BE523" i="1" l="1"/>
  <c r="BA523" i="1"/>
  <c r="BK529" i="1" s="1"/>
  <c r="AL523" i="1"/>
  <c r="AG523" i="1"/>
  <c r="AI530" i="1" s="1"/>
  <c r="AI534" i="1" s="1"/>
  <c r="AI535" i="1" s="1"/>
  <c r="Z523" i="1"/>
  <c r="Q523" i="1"/>
  <c r="S530" i="1" s="1"/>
  <c r="S534" i="1" s="1"/>
  <c r="S535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U524" i="2"/>
  <c r="K524" i="2"/>
  <c r="Q524" i="2" s="1"/>
  <c r="S523" i="2"/>
  <c r="K523" i="2"/>
  <c r="S522" i="2"/>
  <c r="K522" i="2"/>
  <c r="S521" i="2"/>
  <c r="K521" i="2"/>
  <c r="S520" i="2"/>
  <c r="K520" i="2"/>
  <c r="U520" i="2" s="1"/>
  <c r="S519" i="2"/>
  <c r="K519" i="2"/>
  <c r="S518" i="2"/>
  <c r="K518" i="2"/>
  <c r="BM529" i="1" l="1"/>
  <c r="BM535" i="1" s="1"/>
  <c r="BK535" i="1"/>
  <c r="BK528" i="1"/>
  <c r="BM528" i="1" s="1"/>
  <c r="BK527" i="1"/>
  <c r="BM527" i="1"/>
  <c r="BK524" i="1"/>
  <c r="BM524" i="1" s="1"/>
  <c r="BK525" i="1"/>
  <c r="BM525" i="1" s="1"/>
  <c r="BK526" i="1"/>
  <c r="BK523" i="1"/>
  <c r="U523" i="2"/>
  <c r="AR523" i="1"/>
  <c r="BG523" i="1"/>
  <c r="BM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534" i="1"/>
  <c r="BU535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534" i="1"/>
  <c r="BV535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U501" i="2" s="1"/>
  <c r="S500" i="2"/>
  <c r="K500" i="2"/>
  <c r="U500" i="2" s="1"/>
  <c r="S499" i="2"/>
  <c r="K499" i="2"/>
  <c r="S498" i="2"/>
  <c r="K498" i="2"/>
  <c r="S497" i="2"/>
  <c r="K497" i="2"/>
  <c r="Q502" i="2" l="1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BM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660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510" i="3"/>
  <c r="AJ508" i="3"/>
  <c r="AJ511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624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46" i="1"/>
  <c r="D545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625" i="1"/>
  <c r="BG645" i="1"/>
  <c r="BG646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45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35" i="2"/>
  <c r="S357" i="2"/>
  <c r="AP660" i="1"/>
  <c r="BP646" i="1"/>
  <c r="BG647" i="1" s="1"/>
  <c r="BN643" i="1"/>
  <c r="BP643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624" i="1"/>
  <c r="BP624" i="1" s="1"/>
  <c r="BP626" i="1"/>
  <c r="BP627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47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44" i="1"/>
  <c r="BP644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648" i="1" l="1"/>
  <c r="BY648" i="1" s="1"/>
  <c r="BA628" i="1" s="1"/>
  <c r="Q358" i="2"/>
  <c r="M357" i="2"/>
  <c r="U357" i="2"/>
  <c r="M358" i="2"/>
  <c r="CL654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P651" i="1" l="1"/>
  <c r="BP653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619" i="1"/>
  <c r="N621" i="1" s="1"/>
  <c r="N622" i="1" l="1"/>
  <c r="D622" i="1" s="1"/>
  <c r="N623" i="1"/>
  <c r="N624" i="1"/>
  <c r="D623" i="1" l="1"/>
  <c r="D624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610" i="1"/>
  <c r="BG610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555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540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34" i="1"/>
  <c r="G535" i="1" s="1"/>
  <c r="F534" i="1"/>
  <c r="F535" i="1" s="1"/>
  <c r="E534" i="1"/>
  <c r="E535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558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555" i="1" l="1"/>
  <c r="AR554" i="1"/>
  <c r="AP554" i="1"/>
  <c r="AR553" i="1"/>
  <c r="AP553" i="1"/>
  <c r="AV553" i="1" l="1"/>
  <c r="AV554" i="1"/>
  <c r="AV555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99" i="1"/>
  <c r="N214" i="1"/>
  <c r="N204" i="1"/>
  <c r="BA598" i="1" s="1"/>
  <c r="N174" i="1"/>
  <c r="BA597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98" i="1" l="1"/>
  <c r="BE598" i="1" s="1"/>
  <c r="Q218" i="2"/>
  <c r="BC599" i="1"/>
  <c r="BE599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67" i="1"/>
  <c r="H567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86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539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537" i="1"/>
  <c r="BK540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87" i="1"/>
  <c r="AP588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82" i="1"/>
  <c r="H583" i="1"/>
  <c r="J583" i="1" s="1"/>
  <c r="H584" i="1"/>
  <c r="J584" i="1" s="1"/>
  <c r="S154" i="2"/>
  <c r="M156" i="2" l="1"/>
  <c r="Q156" i="2"/>
  <c r="O584" i="1"/>
  <c r="AI154" i="1"/>
  <c r="AI161" i="1"/>
  <c r="BK160" i="1"/>
  <c r="BM160" i="1" s="1"/>
  <c r="AR154" i="1"/>
  <c r="BG154" i="1"/>
  <c r="U155" i="2"/>
  <c r="J582" i="1"/>
  <c r="J589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85" i="1"/>
  <c r="AA584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525" i="3"/>
  <c r="F526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560" i="1" l="1"/>
  <c r="AR552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55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564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551" i="1" s="1"/>
  <c r="AH113" i="1"/>
  <c r="AP551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551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71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558" i="1"/>
  <c r="AP552" i="1" s="1"/>
  <c r="AV552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596" i="1"/>
  <c r="BC597" i="1" s="1"/>
  <c r="BE597" i="1" s="1"/>
  <c r="BE608" i="1"/>
  <c r="BE612" i="1" s="1"/>
  <c r="S127" i="1"/>
  <c r="S128" i="1"/>
  <c r="BE119" i="1"/>
  <c r="BA119" i="1"/>
  <c r="AL119" i="1"/>
  <c r="AR119" i="1" s="1"/>
  <c r="Q119" i="1"/>
  <c r="S126" i="1" s="1"/>
  <c r="K120" i="2"/>
  <c r="V530" i="1" l="1"/>
  <c r="V534" i="1" s="1"/>
  <c r="V535" i="1"/>
  <c r="BG599" i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608" i="1" s="1"/>
  <c r="AL113" i="1"/>
  <c r="K114" i="2"/>
  <c r="BA612" i="1" l="1"/>
  <c r="BC610" i="1"/>
  <c r="BG608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507" i="3"/>
  <c r="AA506" i="3"/>
  <c r="AA505" i="3"/>
  <c r="AA504" i="3"/>
  <c r="AA503" i="3"/>
  <c r="AA502" i="3"/>
  <c r="AA501" i="3"/>
  <c r="AA500" i="3"/>
  <c r="AA499" i="3"/>
  <c r="AA498" i="3"/>
  <c r="Y508" i="3"/>
  <c r="W508" i="3"/>
  <c r="S107" i="2"/>
  <c r="AA508" i="3" l="1"/>
  <c r="AA511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508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519" i="3"/>
  <c r="F522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550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550" i="1"/>
  <c r="AV550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509" i="3" l="1"/>
  <c r="I506" i="3"/>
  <c r="L506" i="3" s="1"/>
  <c r="I78" i="3"/>
  <c r="I80" i="3" s="1"/>
  <c r="I77" i="3"/>
  <c r="BE64" i="1"/>
  <c r="BA64" i="1"/>
  <c r="AL64" i="1"/>
  <c r="AR64" i="1" s="1"/>
  <c r="K65" i="2"/>
  <c r="Y19" i="3"/>
  <c r="Q66" i="2" l="1"/>
  <c r="M66" i="2"/>
  <c r="L509" i="3"/>
  <c r="I79" i="3"/>
  <c r="I81" i="3" s="1"/>
  <c r="I82" i="3" s="1"/>
  <c r="BG64" i="1"/>
  <c r="U65" i="2"/>
  <c r="S64" i="2"/>
  <c r="N81" i="3" l="1"/>
  <c r="N82" i="3" s="1"/>
  <c r="I508" i="3"/>
  <c r="L508" i="3" s="1"/>
  <c r="K64" i="2"/>
  <c r="BE63" i="1"/>
  <c r="BA63" i="1"/>
  <c r="AL63" i="1"/>
  <c r="AR63" i="1" s="1"/>
  <c r="Y18" i="3"/>
  <c r="Q65" i="2" l="1"/>
  <c r="M65" i="2"/>
  <c r="I510" i="3"/>
  <c r="U64" i="2"/>
  <c r="BG63" i="1"/>
  <c r="L499" i="3" l="1"/>
  <c r="L510" i="3"/>
  <c r="L498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47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95" i="1"/>
  <c r="B598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549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557" i="1"/>
  <c r="AR559" i="1" s="1"/>
  <c r="AV559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549" i="1"/>
  <c r="AV549" i="1" s="1"/>
  <c r="BA555" i="1" s="1"/>
  <c r="BA556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33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C533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U456" i="3" l="1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U459" i="3" l="1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U464" i="3" l="1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U468" i="3" l="1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U480" i="3" l="1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U481" i="3" l="1"/>
  <c r="U482" i="3" s="1"/>
  <c r="U483" i="3" s="1"/>
  <c r="U484" i="3" s="1"/>
  <c r="U490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B528" i="1" l="1"/>
  <c r="B529" i="1" s="1"/>
  <c r="B530" i="1" s="1"/>
  <c r="B531" i="1" s="1"/>
  <c r="B532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510" i="3"/>
  <c r="Y511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510" i="3"/>
  <c r="W511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68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621" i="1" s="1"/>
  <c r="O173" i="1"/>
  <c r="AV173" i="1"/>
  <c r="AC173" i="1"/>
  <c r="BE621" i="1" l="1"/>
  <c r="BA643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43" i="1" l="1"/>
  <c r="BP621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43" i="1" l="1"/>
  <c r="CA643" i="1" s="1"/>
  <c r="BC643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34" i="1" s="1"/>
  <c r="BA622" i="1" s="1"/>
  <c r="J235" i="1"/>
  <c r="O234" i="1"/>
  <c r="AC234" i="1"/>
  <c r="BE622" i="1" l="1"/>
  <c r="BA644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622" i="1" l="1"/>
  <c r="BE644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44" i="1" l="1"/>
  <c r="BC644" i="1"/>
  <c r="BC648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548" i="1"/>
  <c r="AV269" i="1"/>
  <c r="H54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36" i="1"/>
  <c r="BA623" i="1" s="1"/>
  <c r="BA627" i="1" s="1"/>
  <c r="BR631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629" i="1"/>
  <c r="AA403" i="1"/>
  <c r="AA404" i="1" s="1"/>
  <c r="AE402" i="1"/>
  <c r="BE623" i="1"/>
  <c r="BA645" i="1"/>
  <c r="BA646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630" i="1"/>
  <c r="AA405" i="1"/>
  <c r="AE404" i="1"/>
  <c r="AE403" i="1"/>
  <c r="BE627" i="1"/>
  <c r="BE645" i="1"/>
  <c r="BP623" i="1"/>
  <c r="AC329" i="1"/>
  <c r="J330" i="1"/>
  <c r="H330" i="1"/>
  <c r="AV329" i="1"/>
  <c r="O329" i="1"/>
  <c r="BE647" i="1" l="1"/>
  <c r="BA648" i="1"/>
  <c r="BE648" i="1" s="1"/>
  <c r="BR648" i="1" s="1"/>
  <c r="BE646" i="1"/>
  <c r="BC645" i="1"/>
  <c r="AX439" i="1"/>
  <c r="BW440" i="1"/>
  <c r="BW441" i="1" s="1"/>
  <c r="BN439" i="1"/>
  <c r="BR424" i="1"/>
  <c r="BP425" i="1"/>
  <c r="BP426" i="1" s="1"/>
  <c r="AE405" i="1"/>
  <c r="AA406" i="1"/>
  <c r="AA407" i="1" s="1"/>
  <c r="BR645" i="1"/>
  <c r="D627" i="1"/>
  <c r="BG627" i="1"/>
  <c r="AC330" i="1"/>
  <c r="J331" i="1"/>
  <c r="H331" i="1"/>
  <c r="O330" i="1"/>
  <c r="AV330" i="1"/>
  <c r="AA285" i="3"/>
  <c r="AA286" i="3"/>
  <c r="AA283" i="3"/>
  <c r="AA284" i="3"/>
  <c r="AA282" i="3"/>
  <c r="AH530" i="1" l="1"/>
  <c r="AH534" i="1" s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646" i="1"/>
  <c r="BC646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627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AH535" i="1" l="1"/>
  <c r="BN442" i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532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R514" i="1"/>
  <c r="BP515" i="1"/>
  <c r="AA496" i="1"/>
  <c r="AE495" i="1"/>
  <c r="AE494" i="1"/>
  <c r="AV400" i="1"/>
  <c r="H401" i="1"/>
  <c r="J401" i="1"/>
  <c r="O400" i="1"/>
  <c r="AC400" i="1"/>
  <c r="BN530" i="1" l="1"/>
  <c r="BN534" i="1" s="1"/>
  <c r="BN535" i="1" s="1"/>
  <c r="AX530" i="1"/>
  <c r="AX534" i="1" s="1"/>
  <c r="AX535" i="1" s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R517" i="1" l="1"/>
  <c r="BP518" i="1"/>
  <c r="BR516" i="1"/>
  <c r="AA498" i="1"/>
  <c r="AA499" i="1" s="1"/>
  <c r="AE497" i="1"/>
  <c r="O402" i="1"/>
  <c r="J403" i="1"/>
  <c r="H403" i="1"/>
  <c r="AV402" i="1"/>
  <c r="AC402" i="1"/>
  <c r="BR518" i="1" l="1"/>
  <c r="BP519" i="1"/>
  <c r="AE499" i="1"/>
  <c r="AA500" i="1"/>
  <c r="AE498" i="1"/>
  <c r="J404" i="1"/>
  <c r="H404" i="1"/>
  <c r="AV403" i="1"/>
  <c r="O403" i="1"/>
  <c r="AC403" i="1"/>
  <c r="BR519" i="1" l="1"/>
  <c r="BP520" i="1"/>
  <c r="AA501" i="1"/>
  <c r="AE500" i="1"/>
  <c r="AV404" i="1"/>
  <c r="H405" i="1"/>
  <c r="J405" i="1"/>
  <c r="O404" i="1"/>
  <c r="AC404" i="1"/>
  <c r="BP521" i="1" l="1"/>
  <c r="BR520" i="1"/>
  <c r="AA502" i="1"/>
  <c r="AE501" i="1"/>
  <c r="AV405" i="1"/>
  <c r="J406" i="1"/>
  <c r="H406" i="1"/>
  <c r="O405" i="1"/>
  <c r="AC405" i="1"/>
  <c r="BP522" i="1" l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BP523" i="1" l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P527" i="1" l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BR528" i="1" l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R529" i="1" l="1"/>
  <c r="BP530" i="1"/>
  <c r="AA508" i="1"/>
  <c r="AA509" i="1" s="1"/>
  <c r="AE507" i="1"/>
  <c r="AV410" i="1"/>
  <c r="H411" i="1"/>
  <c r="J411" i="1"/>
  <c r="O410" i="1"/>
  <c r="AC410" i="1"/>
  <c r="BR530" i="1" l="1"/>
  <c r="BP534" i="1"/>
  <c r="BP535" i="1" s="1"/>
  <c r="AA510" i="1"/>
  <c r="AE509" i="1"/>
  <c r="AE508" i="1"/>
  <c r="J412" i="1"/>
  <c r="H412" i="1"/>
  <c r="AV411" i="1"/>
  <c r="O411" i="1"/>
  <c r="AC411" i="1"/>
  <c r="AA511" i="1" l="1"/>
  <c r="AE510" i="1"/>
  <c r="AV412" i="1"/>
  <c r="J413" i="1"/>
  <c r="H413" i="1"/>
  <c r="O412" i="1"/>
  <c r="AC412" i="1"/>
  <c r="AE511" i="1" l="1"/>
  <c r="AA512" i="1"/>
  <c r="AA513" i="1" s="1"/>
  <c r="AV413" i="1"/>
  <c r="J414" i="1"/>
  <c r="H414" i="1"/>
  <c r="O413" i="1"/>
  <c r="AC413" i="1"/>
  <c r="AA514" i="1" l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A515" i="1" l="1"/>
  <c r="AE514" i="1"/>
  <c r="AV415" i="1"/>
  <c r="J416" i="1"/>
  <c r="H416" i="1"/>
  <c r="O415" i="1"/>
  <c r="AC415" i="1"/>
  <c r="AE515" i="1" l="1"/>
  <c r="AA516" i="1"/>
  <c r="AA517" i="1" s="1"/>
  <c r="AV416" i="1"/>
  <c r="J417" i="1"/>
  <c r="H417" i="1"/>
  <c r="O416" i="1"/>
  <c r="AC416" i="1"/>
  <c r="AA518" i="1" l="1"/>
  <c r="AE517" i="1"/>
  <c r="AE516" i="1"/>
  <c r="J418" i="1"/>
  <c r="H418" i="1"/>
  <c r="AV417" i="1"/>
  <c r="O417" i="1"/>
  <c r="AC417" i="1"/>
  <c r="AE518" i="1" l="1"/>
  <c r="AA519" i="1"/>
  <c r="AV418" i="1"/>
  <c r="H419" i="1"/>
  <c r="J419" i="1"/>
  <c r="O418" i="1"/>
  <c r="AC418" i="1"/>
  <c r="AA520" i="1" l="1"/>
  <c r="AE519" i="1"/>
  <c r="AV419" i="1"/>
  <c r="H420" i="1"/>
  <c r="J420" i="1"/>
  <c r="O419" i="1"/>
  <c r="AC419" i="1"/>
  <c r="AA375" i="3"/>
  <c r="AA373" i="3"/>
  <c r="AA374" i="3"/>
  <c r="AA372" i="3"/>
  <c r="AE520" i="1" l="1"/>
  <c r="AA521" i="1"/>
  <c r="J421" i="1"/>
  <c r="H421" i="1"/>
  <c r="AV420" i="1"/>
  <c r="O420" i="1"/>
  <c r="AC420" i="1"/>
  <c r="AE521" i="1" l="1"/>
  <c r="AA522" i="1"/>
  <c r="AA523" i="1" s="1"/>
  <c r="AA524" i="1" s="1"/>
  <c r="AV421" i="1"/>
  <c r="H422" i="1"/>
  <c r="O421" i="1"/>
  <c r="J422" i="1"/>
  <c r="AC421" i="1"/>
  <c r="AE524" i="1" l="1"/>
  <c r="AA525" i="1"/>
  <c r="AE523" i="1"/>
  <c r="AE522" i="1"/>
  <c r="AV422" i="1"/>
  <c r="J423" i="1"/>
  <c r="H423" i="1"/>
  <c r="O422" i="1"/>
  <c r="AC422" i="1"/>
  <c r="AE525" i="1" l="1"/>
  <c r="AA526" i="1"/>
  <c r="AV423" i="1"/>
  <c r="J424" i="1"/>
  <c r="H424" i="1"/>
  <c r="O423" i="1"/>
  <c r="AC423" i="1"/>
  <c r="AA379" i="3"/>
  <c r="AA377" i="3"/>
  <c r="AA378" i="3"/>
  <c r="AA376" i="3"/>
  <c r="AE526" i="1" l="1"/>
  <c r="AA527" i="1"/>
  <c r="AA528" i="1" s="1"/>
  <c r="AV424" i="1"/>
  <c r="H425" i="1"/>
  <c r="J425" i="1"/>
  <c r="O424" i="1"/>
  <c r="AC424" i="1"/>
  <c r="AA529" i="1" l="1"/>
  <c r="AE528" i="1"/>
  <c r="AE527" i="1"/>
  <c r="J426" i="1"/>
  <c r="H426" i="1"/>
  <c r="AV425" i="1"/>
  <c r="O425" i="1"/>
  <c r="AC425" i="1"/>
  <c r="AE529" i="1" l="1"/>
  <c r="AA530" i="1"/>
  <c r="AV426" i="1"/>
  <c r="J427" i="1"/>
  <c r="H427" i="1"/>
  <c r="O426" i="1"/>
  <c r="AC426" i="1"/>
  <c r="AA534" i="1" l="1"/>
  <c r="AE530" i="1"/>
  <c r="AE534" i="1" s="1"/>
  <c r="AE535" i="1" s="1"/>
  <c r="AV427" i="1"/>
  <c r="J428" i="1"/>
  <c r="H428" i="1"/>
  <c r="O427" i="1"/>
  <c r="AC427" i="1"/>
  <c r="AA535" i="1" l="1"/>
  <c r="AJ21" i="2"/>
  <c r="AD49" i="2"/>
  <c r="AD51" i="2" s="1"/>
  <c r="AD53" i="2" s="1"/>
  <c r="AD55" i="2" s="1"/>
  <c r="AD57" i="2" s="1"/>
  <c r="I21" i="3"/>
  <c r="I35" i="3" s="1"/>
  <c r="AV428" i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H460" i="1"/>
  <c r="O459" i="1"/>
  <c r="AC459" i="1"/>
  <c r="AA412" i="3"/>
  <c r="J461" i="1" l="1"/>
  <c r="H461" i="1"/>
  <c r="AV460" i="1"/>
  <c r="O460" i="1"/>
  <c r="AC460" i="1"/>
  <c r="AA413" i="3"/>
  <c r="AA414" i="3"/>
  <c r="AV461" i="1" l="1"/>
  <c r="J462" i="1"/>
  <c r="H462" i="1"/>
  <c r="O461" i="1"/>
  <c r="AC461" i="1"/>
  <c r="O462" i="1" l="1"/>
  <c r="H463" i="1"/>
  <c r="J463" i="1"/>
  <c r="AV462" i="1"/>
  <c r="AC462" i="1"/>
  <c r="J464" i="1" l="1"/>
  <c r="H464" i="1"/>
  <c r="AV463" i="1"/>
  <c r="O463" i="1"/>
  <c r="AC463" i="1"/>
  <c r="AA416" i="3"/>
  <c r="AA417" i="3"/>
  <c r="AA415" i="3"/>
  <c r="AV464" i="1" l="1"/>
  <c r="J465" i="1"/>
  <c r="O464" i="1"/>
  <c r="H465" i="1"/>
  <c r="AC464" i="1"/>
  <c r="O465" i="1" l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J487" i="1"/>
  <c r="O486" i="1"/>
  <c r="AC486" i="1"/>
  <c r="AV487" i="1" l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O489" i="1"/>
  <c r="AC489" i="1"/>
  <c r="AV490" i="1" l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J499" i="1" l="1"/>
  <c r="H499" i="1"/>
  <c r="AV498" i="1"/>
  <c r="O498" i="1"/>
  <c r="AC498" i="1"/>
  <c r="AV499" i="1" l="1"/>
  <c r="J500" i="1"/>
  <c r="H500" i="1"/>
  <c r="O499" i="1"/>
  <c r="AC499" i="1"/>
  <c r="AV500" i="1" l="1"/>
  <c r="J501" i="1"/>
  <c r="H501" i="1"/>
  <c r="O500" i="1"/>
  <c r="AC500" i="1"/>
  <c r="AV501" i="1" l="1"/>
  <c r="J502" i="1"/>
  <c r="H502" i="1"/>
  <c r="O501" i="1"/>
  <c r="AC501" i="1"/>
  <c r="AA458" i="3"/>
  <c r="AA456" i="3"/>
  <c r="AA457" i="3"/>
  <c r="AA454" i="3"/>
  <c r="AA455" i="3"/>
  <c r="AA453" i="3"/>
  <c r="AV502" i="1" l="1"/>
  <c r="J503" i="1"/>
  <c r="H503" i="1"/>
  <c r="O502" i="1"/>
  <c r="AC502" i="1"/>
  <c r="H504" i="1" l="1"/>
  <c r="J504" i="1"/>
  <c r="AV503" i="1"/>
  <c r="O503" i="1"/>
  <c r="AC503" i="1"/>
  <c r="AV504" i="1" l="1"/>
  <c r="H505" i="1"/>
  <c r="J505" i="1"/>
  <c r="O504" i="1"/>
  <c r="AC504" i="1"/>
  <c r="AV505" i="1" l="1"/>
  <c r="H506" i="1"/>
  <c r="J506" i="1"/>
  <c r="O505" i="1"/>
  <c r="AC505" i="1"/>
  <c r="AV506" i="1" l="1"/>
  <c r="J507" i="1"/>
  <c r="H507" i="1"/>
  <c r="O506" i="1"/>
  <c r="AC506" i="1"/>
  <c r="AA462" i="3"/>
  <c r="AA463" i="3"/>
  <c r="AA460" i="3"/>
  <c r="AA461" i="3"/>
  <c r="AA459" i="3"/>
  <c r="AV507" i="1" l="1"/>
  <c r="J508" i="1"/>
  <c r="H508" i="1"/>
  <c r="O507" i="1"/>
  <c r="AC507" i="1"/>
  <c r="J509" i="1" l="1"/>
  <c r="H509" i="1"/>
  <c r="AV508" i="1"/>
  <c r="O508" i="1"/>
  <c r="AC508" i="1"/>
  <c r="AV509" i="1" l="1"/>
  <c r="J510" i="1"/>
  <c r="H510" i="1"/>
  <c r="O509" i="1"/>
  <c r="AC509" i="1"/>
  <c r="AV510" i="1" l="1"/>
  <c r="H511" i="1"/>
  <c r="J511" i="1"/>
  <c r="O510" i="1"/>
  <c r="AC510" i="1"/>
  <c r="AV511" i="1" l="1"/>
  <c r="J512" i="1"/>
  <c r="H512" i="1"/>
  <c r="O511" i="1"/>
  <c r="AC511" i="1"/>
  <c r="AA465" i="3"/>
  <c r="AA466" i="3"/>
  <c r="AA464" i="3"/>
  <c r="J513" i="1" l="1"/>
  <c r="H513" i="1"/>
  <c r="AV512" i="1"/>
  <c r="O512" i="1"/>
  <c r="AC512" i="1"/>
  <c r="BR647" i="1"/>
  <c r="CL663" i="1" s="1"/>
  <c r="CL665" i="1" s="1"/>
  <c r="AV513" i="1" l="1"/>
  <c r="J514" i="1"/>
  <c r="H514" i="1"/>
  <c r="O513" i="1"/>
  <c r="AC513" i="1"/>
  <c r="BA651" i="1"/>
  <c r="BC651" i="1" s="1"/>
  <c r="CL649" i="1"/>
  <c r="CL651" i="1"/>
  <c r="AV514" i="1" l="1"/>
  <c r="H515" i="1"/>
  <c r="J515" i="1"/>
  <c r="O514" i="1"/>
  <c r="AC514" i="1"/>
  <c r="AV515" i="1" l="1"/>
  <c r="J516" i="1"/>
  <c r="H516" i="1"/>
  <c r="O515" i="1"/>
  <c r="AC515" i="1"/>
  <c r="AA470" i="3"/>
  <c r="AA471" i="3"/>
  <c r="AA468" i="3"/>
  <c r="AA469" i="3"/>
  <c r="AA467" i="3"/>
  <c r="J517" i="1" l="1"/>
  <c r="H517" i="1"/>
  <c r="AV516" i="1"/>
  <c r="O516" i="1"/>
  <c r="AC516" i="1"/>
  <c r="AV517" i="1" l="1"/>
  <c r="H518" i="1"/>
  <c r="J518" i="1"/>
  <c r="O517" i="1"/>
  <c r="AC517" i="1"/>
  <c r="AV518" i="1" l="1"/>
  <c r="H519" i="1"/>
  <c r="J519" i="1"/>
  <c r="O518" i="1"/>
  <c r="AC518" i="1"/>
  <c r="AV519" i="1" l="1"/>
  <c r="J520" i="1"/>
  <c r="H520" i="1"/>
  <c r="O519" i="1"/>
  <c r="AC519" i="1"/>
  <c r="AA477" i="3"/>
  <c r="AA475" i="3"/>
  <c r="AA476" i="3"/>
  <c r="AA473" i="3"/>
  <c r="AA474" i="3"/>
  <c r="AA472" i="3"/>
  <c r="AV520" i="1" l="1"/>
  <c r="O520" i="1"/>
  <c r="J521" i="1"/>
  <c r="H521" i="1"/>
  <c r="AC520" i="1"/>
  <c r="AV521" i="1" l="1"/>
  <c r="O521" i="1"/>
  <c r="J522" i="1"/>
  <c r="H522" i="1"/>
  <c r="I20" i="3" s="1"/>
  <c r="I23" i="3" s="1"/>
  <c r="I25" i="3" s="1"/>
  <c r="I27" i="3" s="1"/>
  <c r="AC521" i="1"/>
  <c r="N27" i="3" l="1"/>
  <c r="N28" i="3" s="1"/>
  <c r="I34" i="3"/>
  <c r="J523" i="1"/>
  <c r="H523" i="1"/>
  <c r="AV522" i="1"/>
  <c r="O522" i="1"/>
  <c r="AC522" i="1"/>
  <c r="H524" i="1" l="1"/>
  <c r="J524" i="1"/>
  <c r="AV523" i="1"/>
  <c r="O523" i="1"/>
  <c r="AC523" i="1"/>
  <c r="AV524" i="1" l="1"/>
  <c r="J525" i="1"/>
  <c r="H525" i="1"/>
  <c r="O524" i="1"/>
  <c r="AC524" i="1"/>
  <c r="AV525" i="1" l="1"/>
  <c r="J526" i="1"/>
  <c r="H526" i="1"/>
  <c r="O525" i="1"/>
  <c r="AC525" i="1"/>
  <c r="AA481" i="3"/>
  <c r="AA479" i="3"/>
  <c r="AA480" i="3"/>
  <c r="AA478" i="3"/>
  <c r="AV526" i="1" l="1"/>
  <c r="O526" i="1"/>
  <c r="J527" i="1"/>
  <c r="H527" i="1"/>
  <c r="AC526" i="1"/>
  <c r="J528" i="1" l="1"/>
  <c r="H528" i="1"/>
  <c r="AV527" i="1"/>
  <c r="O527" i="1"/>
  <c r="AC527" i="1"/>
  <c r="AV528" i="1" l="1"/>
  <c r="H529" i="1"/>
  <c r="J529" i="1"/>
  <c r="O528" i="1"/>
  <c r="AC528" i="1"/>
  <c r="AV529" i="1" l="1"/>
  <c r="J530" i="1"/>
  <c r="J534" i="1" s="1"/>
  <c r="J535" i="1" s="1"/>
  <c r="H530" i="1"/>
  <c r="O529" i="1"/>
  <c r="AC529" i="1"/>
  <c r="AA483" i="3"/>
  <c r="AA484" i="3"/>
  <c r="AA482" i="3"/>
  <c r="AV530" i="1" l="1"/>
  <c r="AV534" i="1" s="1"/>
  <c r="AV535" i="1" s="1"/>
  <c r="O530" i="1"/>
  <c r="O534" i="1" s="1"/>
  <c r="O535" i="1" s="1"/>
  <c r="H534" i="1"/>
  <c r="AC530" i="1"/>
  <c r="AC534" i="1" s="1"/>
  <c r="AC535" i="1" s="1"/>
  <c r="H535" i="1" l="1"/>
  <c r="I32" i="3"/>
  <c r="AF21" i="2"/>
  <c r="I36" i="3" l="1"/>
  <c r="I28" i="3"/>
  <c r="L34" i="3"/>
  <c r="L32" i="3"/>
  <c r="L35" i="3"/>
  <c r="W485" i="3" l="1"/>
  <c r="AA485" i="3" s="1"/>
  <c r="L36" i="3"/>
  <c r="Y12" i="3" l="1"/>
  <c r="Y214" i="3"/>
  <c r="Y244" i="3"/>
  <c r="Y350" i="3"/>
  <c r="Y121" i="3"/>
</calcChain>
</file>

<file path=xl/sharedStrings.xml><?xml version="1.0" encoding="utf-8"?>
<sst xmlns="http://schemas.openxmlformats.org/spreadsheetml/2006/main" count="373" uniqueCount="190">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</sst>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2" fillId="12" borderId="0" xfId="1" applyNumberFormat="1" applyFon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0" fillId="0" borderId="19" xfId="0" applyNumberFormat="1" applyBorder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Table'!$BA$638:$BA$642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Table'!$AS$643:$AT$648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Table'!$BA$643:$BA$648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17781570.561621621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Table'!$BC$638:$BC$642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Table'!$AS$643:$AT$648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Table'!$BC$643:$BC$648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37893785.96162162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Table'!$BJ$638:$BJ$642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Table'!$AS$643:$AT$648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Table'!$BJ$643:$BJ$647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Table'!$BK$638:$BK$642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Table'!$AS$643:$AT$648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Table'!$BK$643:$BK$647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Table'!$BL$638:$BL$642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Table'!$AS$643:$AT$648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Table'!$BL$643:$BL$647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Table'!$BM$638:$BM$642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Table'!$AS$643:$AT$648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Table'!$BM$643:$BM$647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Table'!$BP$638:$BP$642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Table'!$AS$643:$AT$648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Table'!$BP$643:$BP$648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170820000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Table'!$AU$638:$AU$642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Table'!$AU$643:$AU$648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Table'!$AV$638:$AV$642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Table'!$AV$643:$AV$647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Table'!$AW$638:$AW$642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Table'!$AW$643:$AW$647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Table'!$AX$638:$AX$642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Table'!$AX$643:$AX$647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Table'!$AY$638:$AY$642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Table'!$AY$643:$AY$647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Table'!$AZ$638:$AZ$642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Table'!$AZ$643:$AZ$647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Table'!$BB$638:$BB$642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Table'!$BB$643:$BB$647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Table'!$BD$638:$BD$642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Table'!$BD$643:$BD$647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Table'!$BE$638:$BE$642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Table'!$BE$643:$BE$647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Table'!$BF$638:$BF$642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Table'!$BF$643:$BF$647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Table'!$BG$638:$BG$642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Table'!$BG$643:$BG$647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Table'!$BH$638:$BH$642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Table'!$BH$643:$BH$647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Table'!$BI$638:$BI$642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Table'!$BI$643:$BI$647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Table'!$BN$638:$BN$642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Table'!$BN$643:$BN$647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Table'!$BO$638:$BO$642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Table'!$BO$643:$BO$647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Table'!$BQ$638:$BQ$642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Table'!$BQ$643:$BQ$647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Table'!$BR$638:$BR$642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Table'!$BR$643:$BR$647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Table'!$BS$638:$BS$642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Table'!$BS$643:$BS$647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Table'!$BT$638:$BT$642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Table'!$BR$643:$BR$648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226495356.52324325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Table'!$BU$638:$BU$642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Table'!$BU$643:$BU$647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Table'!$BV$638:$BV$642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Table'!$AS$643:$AT$648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Table'!$BV$643:$BV$647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547</xdr:row>
      <xdr:rowOff>99060</xdr:rowOff>
    </xdr:from>
    <xdr:to>
      <xdr:col>22</xdr:col>
      <xdr:colOff>312420</xdr:colOff>
      <xdr:row>548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547</xdr:row>
      <xdr:rowOff>129540</xdr:rowOff>
    </xdr:from>
    <xdr:to>
      <xdr:col>23</xdr:col>
      <xdr:colOff>68580</xdr:colOff>
      <xdr:row>548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565</xdr:row>
      <xdr:rowOff>125730</xdr:rowOff>
    </xdr:from>
    <xdr:to>
      <xdr:col>54</xdr:col>
      <xdr:colOff>213360</xdr:colOff>
      <xdr:row>580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655</xdr:row>
      <xdr:rowOff>91440</xdr:rowOff>
    </xdr:from>
    <xdr:to>
      <xdr:col>76</xdr:col>
      <xdr:colOff>472440</xdr:colOff>
      <xdr:row>678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79"/>
  <sheetViews>
    <sheetView tabSelected="1" topLeftCell="A506" zoomScaleNormal="100" workbookViewId="0">
      <selection activeCell="CL669" sqref="CL669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592" t="s">
        <v>5</v>
      </c>
      <c r="C1" s="592"/>
      <c r="D1" s="592"/>
    </row>
    <row r="2" spans="2:90" ht="15.6" x14ac:dyDescent="0.3">
      <c r="B2" s="592" t="s">
        <v>6</v>
      </c>
      <c r="C2" s="592"/>
      <c r="D2" s="59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597" t="s">
        <v>13</v>
      </c>
      <c r="C3" s="597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593" t="s">
        <v>11</v>
      </c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11"/>
      <c r="AE4" s="282"/>
      <c r="AF4" s="404"/>
      <c r="AG4" s="404"/>
      <c r="AH4" s="404"/>
      <c r="AI4" s="404"/>
      <c r="AJ4" s="12"/>
      <c r="AL4" s="608" t="s">
        <v>14</v>
      </c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  <c r="BB4" s="609"/>
      <c r="BC4" s="609"/>
      <c r="BD4" s="609"/>
      <c r="BE4" s="609"/>
      <c r="BF4" s="609"/>
      <c r="BG4" s="609"/>
      <c r="BH4" s="609"/>
      <c r="BI4" s="609"/>
      <c r="BJ4" s="609"/>
      <c r="BK4" s="609"/>
      <c r="BL4" s="609"/>
      <c r="BM4" s="609"/>
      <c r="BN4" s="609"/>
      <c r="BO4" s="609"/>
      <c r="BP4" s="609"/>
      <c r="BQ4" s="609"/>
      <c r="BR4" s="609"/>
      <c r="BS4" s="609"/>
      <c r="BT4" s="609"/>
      <c r="BU4" s="610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598" t="s">
        <v>12</v>
      </c>
      <c r="G6" s="598"/>
      <c r="H6" s="598"/>
      <c r="I6" s="598"/>
      <c r="J6" s="598"/>
      <c r="K6" s="598"/>
      <c r="L6" s="598"/>
      <c r="M6" s="292"/>
      <c r="N6" s="499"/>
      <c r="O6" s="292"/>
      <c r="P6" s="293"/>
      <c r="Q6" s="604" t="s">
        <v>111</v>
      </c>
      <c r="R6" s="598"/>
      <c r="S6" s="598"/>
      <c r="T6" s="598"/>
      <c r="U6" s="605"/>
      <c r="V6" s="3"/>
      <c r="W6" s="8" t="s">
        <v>7</v>
      </c>
      <c r="X6" s="30"/>
      <c r="Y6" s="599">
        <v>1.2500000000000001E-2</v>
      </c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600"/>
      <c r="AK6" s="3"/>
      <c r="AL6" s="615" t="s">
        <v>25</v>
      </c>
      <c r="AM6" s="616"/>
      <c r="AN6" s="616"/>
      <c r="AO6" s="616"/>
      <c r="AP6" s="616"/>
      <c r="AQ6" s="616"/>
      <c r="AR6" s="616"/>
      <c r="AS6" s="616"/>
      <c r="AT6" s="616"/>
      <c r="AU6" s="616"/>
      <c r="AV6" s="616"/>
      <c r="AW6" s="616"/>
      <c r="AX6" s="616"/>
      <c r="AY6" s="617"/>
      <c r="AZ6" s="3"/>
      <c r="BA6" s="618" t="s">
        <v>7</v>
      </c>
      <c r="BB6" s="612"/>
      <c r="BC6" s="612"/>
      <c r="BD6" s="85"/>
      <c r="BE6" s="611" t="s">
        <v>24</v>
      </c>
      <c r="BF6" s="611"/>
      <c r="BG6" s="611"/>
      <c r="BH6" s="611"/>
      <c r="BI6" s="611"/>
      <c r="BJ6" s="611"/>
      <c r="BK6" s="611"/>
      <c r="BL6" s="611"/>
      <c r="BM6" s="611"/>
      <c r="BN6" s="611"/>
      <c r="BO6" s="611"/>
      <c r="BP6" s="611"/>
      <c r="BQ6" s="611"/>
      <c r="BR6" s="612"/>
      <c r="BS6" s="612"/>
      <c r="BT6" s="612"/>
      <c r="BU6" s="613"/>
      <c r="BV6" s="3"/>
    </row>
    <row r="7" spans="2:90" ht="16.2" x14ac:dyDescent="0.3">
      <c r="D7" s="595" t="s">
        <v>20</v>
      </c>
      <c r="E7" s="596"/>
      <c r="F7" s="596"/>
      <c r="G7" s="596"/>
      <c r="H7" s="596"/>
      <c r="I7" s="596"/>
      <c r="J7" s="596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01" t="s">
        <v>33</v>
      </c>
      <c r="X7" s="602"/>
      <c r="Y7" s="602"/>
      <c r="Z7" s="602"/>
      <c r="AA7" s="602"/>
      <c r="AB7" s="602"/>
      <c r="AC7" s="602"/>
      <c r="AD7" s="602"/>
      <c r="AE7" s="602"/>
      <c r="AF7" s="602"/>
      <c r="AG7" s="602"/>
      <c r="AH7" s="602"/>
      <c r="AI7" s="602"/>
      <c r="AJ7" s="603"/>
      <c r="AK7" s="3"/>
      <c r="AL7" s="595" t="s">
        <v>68</v>
      </c>
      <c r="AM7" s="596"/>
      <c r="AN7" s="596"/>
      <c r="AO7" s="596"/>
      <c r="AP7" s="596"/>
      <c r="AQ7" s="596"/>
      <c r="AR7" s="596"/>
      <c r="AS7" s="596"/>
      <c r="AT7" s="596"/>
      <c r="AU7" s="596"/>
      <c r="AV7" s="596"/>
      <c r="AW7" s="596"/>
      <c r="AX7" s="596"/>
      <c r="AY7" s="614"/>
      <c r="BA7" s="595" t="s">
        <v>23</v>
      </c>
      <c r="BB7" s="596"/>
      <c r="BC7" s="596"/>
      <c r="BD7" s="596"/>
      <c r="BE7" s="596"/>
      <c r="BF7" s="596"/>
      <c r="BG7" s="596"/>
      <c r="BH7" s="596"/>
      <c r="BI7" s="596"/>
      <c r="BJ7" s="596"/>
      <c r="BK7" s="596"/>
      <c r="BL7" s="596"/>
      <c r="BM7" s="596"/>
      <c r="BN7" s="596"/>
      <c r="BO7" s="596"/>
      <c r="BP7" s="596"/>
      <c r="BQ7" s="596"/>
      <c r="BR7" s="596"/>
      <c r="BS7" s="596"/>
      <c r="BT7" s="596"/>
      <c r="BU7" s="614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06" t="s">
        <v>1</v>
      </c>
      <c r="BB8" s="607"/>
      <c r="BC8" s="607"/>
      <c r="BD8" s="63"/>
      <c r="BE8" s="607" t="s">
        <v>22</v>
      </c>
      <c r="BF8" s="607"/>
      <c r="BG8" s="607"/>
      <c r="BH8" s="607"/>
      <c r="BI8" s="619"/>
      <c r="BJ8" s="620" t="s">
        <v>111</v>
      </c>
      <c r="BK8" s="621"/>
      <c r="BL8" s="621"/>
      <c r="BM8" s="622"/>
      <c r="BN8" s="606" t="s">
        <v>22</v>
      </c>
      <c r="BO8" s="607"/>
      <c r="BP8" s="607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SUM(D102:D533)</f>
        <v>34533208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SUM(D109:D540)</f>
        <v>34425375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SUM(D116:D547)</f>
        <v>34877050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 t="shared" ref="AH152:AH183" si="112">SUM(D123:D557)</f>
        <v>365482180</v>
      </c>
      <c r="AI152" s="213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 t="shared" si="112"/>
        <v>365420461</v>
      </c>
      <c r="AI153" s="213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 t="shared" si="112"/>
        <v>365362112</v>
      </c>
      <c r="AI154" s="213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 t="shared" si="112"/>
        <v>365296624</v>
      </c>
      <c r="AI155" s="213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 t="shared" si="112"/>
        <v>365230576</v>
      </c>
      <c r="AI156" s="213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 t="shared" si="112"/>
        <v>365158581</v>
      </c>
      <c r="AI157" s="213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 t="shared" si="112"/>
        <v>442085193</v>
      </c>
      <c r="AI158" s="213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 t="shared" si="112"/>
        <v>442010206.23262841</v>
      </c>
      <c r="AI159" s="213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4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 t="shared" si="112"/>
        <v>441946947.23262841</v>
      </c>
      <c r="AI160" s="213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 t="shared" si="112"/>
        <v>772881668.23262835</v>
      </c>
      <c r="AI161" s="213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4"/>
        <v>335914</v>
      </c>
      <c r="O162" s="16">
        <f t="shared" si="115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 t="shared" si="112"/>
        <v>817172789.23262835</v>
      </c>
      <c r="AI162" s="213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4"/>
        <v>325907</v>
      </c>
      <c r="O163" s="16">
        <f t="shared" si="115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 t="shared" si="112"/>
        <v>817105310.30462837</v>
      </c>
      <c r="AI163" s="213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4"/>
        <v>315788</v>
      </c>
      <c r="O164" s="16">
        <f t="shared" si="115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 t="shared" si="112"/>
        <v>817033343.30462837</v>
      </c>
      <c r="AI164" s="213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6456256</v>
      </c>
      <c r="I165" s="16"/>
      <c r="J165" s="436">
        <f t="shared" ref="J165:J182" si="117">+D165/H164</f>
        <v>6.8350095837348326E-3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41386.256410256414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182894</v>
      </c>
      <c r="AB165" s="33"/>
      <c r="AC165" s="46">
        <f t="shared" ref="AC165:AC182" si="122">+AA165/H165</f>
        <v>2.8328182773421622E-2</v>
      </c>
      <c r="AD165" s="33"/>
      <c r="AE165" s="33">
        <f t="shared" ref="AE165:AE182" si="123">+AA165/BW165</f>
        <v>1172.3974358974358</v>
      </c>
      <c r="AF165" s="50"/>
      <c r="AG165" s="33">
        <f t="shared" ref="AG165:AG182" si="124">SUM(W159:W165)</f>
        <v>6994</v>
      </c>
      <c r="AH165" s="33">
        <f t="shared" si="112"/>
        <v>816963900.34662843</v>
      </c>
      <c r="AI165" s="213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7">+AL165/AP164</f>
        <v>6.606727978159619E-3</v>
      </c>
      <c r="AS165" s="25"/>
      <c r="AT165" s="25"/>
      <c r="AU165" s="24"/>
      <c r="AV165" s="298">
        <f t="shared" ref="AV165:AV182" si="128">+AP165/H165</f>
        <v>0.48760148296473993</v>
      </c>
      <c r="AW165" s="298"/>
      <c r="AX165" s="24">
        <f t="shared" ref="AX165:AX182" si="129">+AP165/BW165</f>
        <v>20180</v>
      </c>
      <c r="AY165" s="308"/>
      <c r="AZ165" s="10"/>
      <c r="BA165" s="65">
        <f t="shared" ref="BA165:BA182" si="130">+BC165-BC164</f>
        <v>756595</v>
      </c>
      <c r="BB165" s="66"/>
      <c r="BC165" s="66">
        <v>75475175</v>
      </c>
      <c r="BD165" s="66"/>
      <c r="BE165" s="66">
        <f t="shared" ref="BE165:BE182" si="131">+D165</f>
        <v>43829</v>
      </c>
      <c r="BF165" s="66"/>
      <c r="BG165" s="144">
        <f t="shared" ref="BG165:BG182" si="132">+BE165/BA165</f>
        <v>5.7929275239725346E-2</v>
      </c>
      <c r="BH165" s="66"/>
      <c r="BI165" s="170"/>
      <c r="BJ165" s="66"/>
      <c r="BK165" s="66">
        <f t="shared" ref="BK165:BK182" si="133">SUM(BA159:BA165)</f>
        <v>5250502</v>
      </c>
      <c r="BL165" s="66"/>
      <c r="BM165" s="144">
        <f t="shared" ref="BM165:BM182" si="134">+Q165/BK165</f>
        <v>5.8298044644112125E-2</v>
      </c>
      <c r="BN165" s="65">
        <f t="shared" ref="BN165:BN182" si="135">+BC165/BW165</f>
        <v>483815.22435897437</v>
      </c>
      <c r="BO165" s="66"/>
      <c r="BP165" s="66">
        <f t="shared" ref="BP165:BP182" si="136">+BP164+BE165</f>
        <v>5549278</v>
      </c>
      <c r="BQ165" s="66"/>
      <c r="BR165" s="435">
        <f t="shared" ref="BR165:BR182" si="137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6488974</v>
      </c>
      <c r="I166" s="16"/>
      <c r="J166" s="436">
        <f t="shared" si="117"/>
        <v>5.0676429187442385E-3</v>
      </c>
      <c r="K166" s="16"/>
      <c r="L166" s="16"/>
      <c r="M166" s="16"/>
      <c r="N166" s="16">
        <f t="shared" si="118"/>
        <v>301969</v>
      </c>
      <c r="O166" s="16">
        <f t="shared" si="115"/>
        <v>41331.044585987263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183324</v>
      </c>
      <c r="AB166" s="33"/>
      <c r="AC166" s="46">
        <f t="shared" si="122"/>
        <v>2.8251615740793538E-2</v>
      </c>
      <c r="AD166" s="33"/>
      <c r="AE166" s="33">
        <f t="shared" si="123"/>
        <v>1167.6687898089172</v>
      </c>
      <c r="AF166" s="50"/>
      <c r="AG166" s="33">
        <f t="shared" si="124"/>
        <v>6902</v>
      </c>
      <c r="AH166" s="33">
        <f t="shared" si="112"/>
        <v>817886866.34662843</v>
      </c>
      <c r="AI166" s="213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7"/>
        <v>6.0300246499453633E-3</v>
      </c>
      <c r="AS166" s="25"/>
      <c r="AT166" s="25"/>
      <c r="AU166" s="24"/>
      <c r="AV166" s="298">
        <f t="shared" si="128"/>
        <v>0.48806837567849709</v>
      </c>
      <c r="AW166" s="298"/>
      <c r="AX166" s="24">
        <f t="shared" si="129"/>
        <v>20172.375796178345</v>
      </c>
      <c r="AY166" s="308"/>
      <c r="AZ166" s="348"/>
      <c r="BA166" s="65">
        <f t="shared" si="130"/>
        <v>684203</v>
      </c>
      <c r="BB166" s="66"/>
      <c r="BC166" s="66">
        <v>76159378</v>
      </c>
      <c r="BD166" s="66"/>
      <c r="BE166" s="66">
        <f t="shared" si="131"/>
        <v>32718</v>
      </c>
      <c r="BF166" s="66"/>
      <c r="BG166" s="144">
        <f t="shared" si="132"/>
        <v>4.7819141395170732E-2</v>
      </c>
      <c r="BH166" s="66"/>
      <c r="BI166" s="170"/>
      <c r="BJ166" s="66"/>
      <c r="BK166" s="66">
        <f t="shared" si="133"/>
        <v>5198748</v>
      </c>
      <c r="BL166" s="66"/>
      <c r="BM166" s="144">
        <f t="shared" si="134"/>
        <v>5.8084946606375226E-2</v>
      </c>
      <c r="BN166" s="65">
        <f t="shared" si="135"/>
        <v>485091.57961783442</v>
      </c>
      <c r="BO166" s="66"/>
      <c r="BP166" s="66">
        <f t="shared" si="136"/>
        <v>5581996</v>
      </c>
      <c r="BQ166" s="66"/>
      <c r="BR166" s="435">
        <f t="shared" si="137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6530458</v>
      </c>
      <c r="I167" s="16"/>
      <c r="J167" s="436">
        <f t="shared" si="117"/>
        <v>6.3929983384122049E-3</v>
      </c>
      <c r="K167" s="16"/>
      <c r="L167" s="16"/>
      <c r="M167" s="16"/>
      <c r="N167" s="16">
        <f t="shared" si="118"/>
        <v>302841</v>
      </c>
      <c r="O167" s="16">
        <f t="shared" si="115"/>
        <v>41332.012658227846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183834</v>
      </c>
      <c r="AB167" s="33"/>
      <c r="AC167" s="46">
        <f t="shared" si="122"/>
        <v>2.8150246123625631E-2</v>
      </c>
      <c r="AD167" s="33"/>
      <c r="AE167" s="33">
        <f t="shared" si="123"/>
        <v>1163.506329113924</v>
      </c>
      <c r="AF167" s="50"/>
      <c r="AG167" s="33">
        <f t="shared" si="124"/>
        <v>6823</v>
      </c>
      <c r="AH167" s="33">
        <f t="shared" si="112"/>
        <v>817819453.34662843</v>
      </c>
      <c r="AI167" s="213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7"/>
        <v>1.607735621299608E-2</v>
      </c>
      <c r="AS167" s="25"/>
      <c r="AT167" s="25"/>
      <c r="AU167" s="24"/>
      <c r="AV167" s="298">
        <f t="shared" si="128"/>
        <v>0.49276497911785055</v>
      </c>
      <c r="AW167" s="298"/>
      <c r="AX167" s="24">
        <f t="shared" si="129"/>
        <v>20366.968354430381</v>
      </c>
      <c r="AY167" s="308"/>
      <c r="AZ167" s="10"/>
      <c r="BA167" s="65">
        <f t="shared" si="130"/>
        <v>724101</v>
      </c>
      <c r="BB167" s="66"/>
      <c r="BC167" s="66">
        <v>76883479</v>
      </c>
      <c r="BD167" s="66"/>
      <c r="BE167" s="66">
        <f t="shared" si="131"/>
        <v>41484</v>
      </c>
      <c r="BF167" s="66"/>
      <c r="BG167" s="144">
        <f t="shared" si="132"/>
        <v>5.7290350379297916E-2</v>
      </c>
      <c r="BH167" s="66"/>
      <c r="BI167" s="170"/>
      <c r="BJ167" s="66"/>
      <c r="BK167" s="66">
        <f t="shared" si="133"/>
        <v>5195698</v>
      </c>
      <c r="BL167" s="66"/>
      <c r="BM167" s="144">
        <f t="shared" si="134"/>
        <v>5.8286875026223615E-2</v>
      </c>
      <c r="BN167" s="65">
        <f t="shared" si="135"/>
        <v>486604.2974683544</v>
      </c>
      <c r="BO167" s="66"/>
      <c r="BP167" s="66">
        <f t="shared" si="136"/>
        <v>5623480</v>
      </c>
      <c r="BQ167" s="66"/>
      <c r="BR167" s="435">
        <f t="shared" si="137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6570556</v>
      </c>
      <c r="I168" s="16"/>
      <c r="J168" s="436">
        <f t="shared" si="117"/>
        <v>6.140151272697872E-3</v>
      </c>
      <c r="K168" s="16"/>
      <c r="L168" s="16"/>
      <c r="M168" s="16"/>
      <c r="N168" s="16">
        <f t="shared" si="118"/>
        <v>298940</v>
      </c>
      <c r="O168" s="16">
        <f t="shared" si="115"/>
        <v>41324.251572327041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185124</v>
      </c>
      <c r="AB168" s="33"/>
      <c r="AC168" s="46">
        <f t="shared" si="122"/>
        <v>2.8174784599659452E-2</v>
      </c>
      <c r="AD168" s="33"/>
      <c r="AE168" s="33">
        <f t="shared" si="123"/>
        <v>1164.3018867924529</v>
      </c>
      <c r="AF168" s="50"/>
      <c r="AG168" s="33">
        <f t="shared" si="124"/>
        <v>6755</v>
      </c>
      <c r="AH168" s="33">
        <f t="shared" si="112"/>
        <v>817763323.34662843</v>
      </c>
      <c r="AI168" s="213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7"/>
        <v>1.1280675678321283E-2</v>
      </c>
      <c r="AS168" s="25"/>
      <c r="AT168" s="25"/>
      <c r="AU168" s="24"/>
      <c r="AV168" s="298">
        <f t="shared" si="128"/>
        <v>0.49528259100143124</v>
      </c>
      <c r="AW168" s="298"/>
      <c r="AX168" s="24">
        <f t="shared" si="129"/>
        <v>20467.182389937108</v>
      </c>
      <c r="AY168" s="308"/>
      <c r="AZ168" s="10"/>
      <c r="BA168" s="65">
        <f t="shared" si="130"/>
        <v>1047928</v>
      </c>
      <c r="BB168" s="66"/>
      <c r="BC168" s="66">
        <v>77931407</v>
      </c>
      <c r="BD168" s="66"/>
      <c r="BE168" s="66">
        <f t="shared" si="131"/>
        <v>40098</v>
      </c>
      <c r="BF168" s="66"/>
      <c r="BG168" s="144">
        <f t="shared" si="132"/>
        <v>3.8264079211548882E-2</v>
      </c>
      <c r="BH168" s="66"/>
      <c r="BI168" s="170"/>
      <c r="BJ168" s="66"/>
      <c r="BK168" s="66">
        <f t="shared" si="133"/>
        <v>5563756</v>
      </c>
      <c r="BL168" s="66"/>
      <c r="BM168" s="144">
        <f t="shared" si="134"/>
        <v>5.3729890383402867E-2</v>
      </c>
      <c r="BN168" s="65">
        <f t="shared" si="135"/>
        <v>490134.63522012578</v>
      </c>
      <c r="BO168" s="66"/>
      <c r="BP168" s="66">
        <f t="shared" si="136"/>
        <v>5663578</v>
      </c>
      <c r="BQ168" s="66"/>
      <c r="BR168" s="435">
        <f t="shared" si="137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6615193</v>
      </c>
      <c r="I169" s="16"/>
      <c r="J169" s="436">
        <f t="shared" si="117"/>
        <v>6.7934890137151252E-3</v>
      </c>
      <c r="K169" s="16"/>
      <c r="L169" s="16"/>
      <c r="M169" s="16"/>
      <c r="N169" s="16">
        <f t="shared" si="118"/>
        <v>298604</v>
      </c>
      <c r="O169" s="16">
        <f t="shared" si="115"/>
        <v>41344.956250000003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186404</v>
      </c>
      <c r="AB169" s="33"/>
      <c r="AC169" s="46">
        <f t="shared" si="122"/>
        <v>2.8178165021035668E-2</v>
      </c>
      <c r="AD169" s="33"/>
      <c r="AE169" s="33">
        <f t="shared" si="123"/>
        <v>1165.0250000000001</v>
      </c>
      <c r="AF169" s="50"/>
      <c r="AG169" s="33">
        <f t="shared" si="124"/>
        <v>6751</v>
      </c>
      <c r="AH169" s="33">
        <f t="shared" si="112"/>
        <v>817701752.34662843</v>
      </c>
      <c r="AI169" s="213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7"/>
        <v>1.8307878665708748E-2</v>
      </c>
      <c r="AS169" s="25"/>
      <c r="AT169" s="25"/>
      <c r="AU169" s="24"/>
      <c r="AV169" s="298">
        <f t="shared" si="128"/>
        <v>0.50094698673190641</v>
      </c>
      <c r="AW169" s="298"/>
      <c r="AX169" s="24">
        <f t="shared" si="129"/>
        <v>20711.631249999999</v>
      </c>
      <c r="AY169" s="308"/>
      <c r="AZ169" s="10"/>
      <c r="BA169" s="65">
        <f t="shared" si="130"/>
        <v>701159</v>
      </c>
      <c r="BB169" s="66"/>
      <c r="BC169" s="66">
        <v>78632566</v>
      </c>
      <c r="BD169" s="66"/>
      <c r="BE169" s="66">
        <f t="shared" si="131"/>
        <v>44637</v>
      </c>
      <c r="BF169" s="66"/>
      <c r="BG169" s="144">
        <f t="shared" si="132"/>
        <v>6.3661737209391875E-2</v>
      </c>
      <c r="BH169" s="66"/>
      <c r="BI169" s="170"/>
      <c r="BJ169" s="66"/>
      <c r="BK169" s="66">
        <f t="shared" si="133"/>
        <v>5516857</v>
      </c>
      <c r="BL169" s="66"/>
      <c r="BM169" s="144">
        <f t="shared" si="134"/>
        <v>5.4125745873057796E-2</v>
      </c>
      <c r="BN169" s="65">
        <f t="shared" si="135"/>
        <v>491453.53749999998</v>
      </c>
      <c r="BO169" s="66"/>
      <c r="BP169" s="66">
        <f t="shared" si="136"/>
        <v>5708215</v>
      </c>
      <c r="BQ169" s="66"/>
      <c r="BR169" s="435">
        <f t="shared" si="137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6661199</v>
      </c>
      <c r="I170" s="16"/>
      <c r="J170" s="436">
        <f t="shared" si="117"/>
        <v>6.9545967895418923E-3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41373.90683229814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187547</v>
      </c>
      <c r="AB170" s="33"/>
      <c r="AC170" s="46">
        <f t="shared" si="122"/>
        <v>2.8155141439251401E-2</v>
      </c>
      <c r="AD170" s="33"/>
      <c r="AE170" s="33">
        <f t="shared" si="123"/>
        <v>1164.888198757764</v>
      </c>
      <c r="AF170" s="50"/>
      <c r="AG170" s="33">
        <f t="shared" si="124"/>
        <v>6797</v>
      </c>
      <c r="AH170" s="33">
        <f t="shared" si="112"/>
        <v>817637023.34662843</v>
      </c>
      <c r="AI170" s="213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7"/>
        <v>1.0283774726821675E-2</v>
      </c>
      <c r="AS170" s="25"/>
      <c r="AT170" s="25"/>
      <c r="AU170" s="24"/>
      <c r="AV170" s="298">
        <f t="shared" si="128"/>
        <v>0.50260321002270014</v>
      </c>
      <c r="AW170" s="298"/>
      <c r="AX170" s="24">
        <f t="shared" si="129"/>
        <v>20794.658385093167</v>
      </c>
      <c r="AY170" s="308"/>
      <c r="AZ170" s="10"/>
      <c r="BA170" s="65">
        <f t="shared" si="130"/>
        <v>839920</v>
      </c>
      <c r="BB170" s="66"/>
      <c r="BC170" s="66">
        <v>79472486</v>
      </c>
      <c r="BD170" s="66"/>
      <c r="BE170" s="66">
        <f t="shared" si="131"/>
        <v>46006</v>
      </c>
      <c r="BF170" s="66"/>
      <c r="BG170" s="144">
        <f t="shared" si="132"/>
        <v>5.4774264215639586E-2</v>
      </c>
      <c r="BH170" s="66"/>
      <c r="BI170" s="170"/>
      <c r="BJ170" s="66"/>
      <c r="BK170" s="66">
        <f t="shared" si="133"/>
        <v>5604154</v>
      </c>
      <c r="BL170" s="66"/>
      <c r="BM170" s="144">
        <f t="shared" si="134"/>
        <v>5.3398425525065872E-2</v>
      </c>
      <c r="BN170" s="65">
        <f t="shared" si="135"/>
        <v>493617.92546583852</v>
      </c>
      <c r="BO170" s="66"/>
      <c r="BP170" s="66">
        <f t="shared" si="136"/>
        <v>5754221</v>
      </c>
      <c r="BQ170" s="66"/>
      <c r="BR170" s="435">
        <f t="shared" si="137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6710800</v>
      </c>
      <c r="I171" s="16"/>
      <c r="J171" s="436">
        <f t="shared" si="117"/>
        <v>7.4462570477176852E-3</v>
      </c>
      <c r="K171" s="16"/>
      <c r="L171" s="16"/>
      <c r="M171" s="16"/>
      <c r="N171" s="16">
        <f t="shared" si="118"/>
        <v>298373</v>
      </c>
      <c r="O171" s="16">
        <f t="shared" si="138"/>
        <v>41424.691358024691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188652</v>
      </c>
      <c r="AB171" s="33"/>
      <c r="AC171" s="46">
        <f t="shared" si="122"/>
        <v>2.8111700542409249E-2</v>
      </c>
      <c r="AD171" s="33"/>
      <c r="AE171" s="33">
        <f t="shared" si="123"/>
        <v>1164.5185185185185</v>
      </c>
      <c r="AF171" s="50"/>
      <c r="AG171" s="33">
        <f t="shared" si="124"/>
        <v>6732</v>
      </c>
      <c r="AH171" s="33">
        <f t="shared" si="112"/>
        <v>817570102.34662843</v>
      </c>
      <c r="AI171" s="213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7"/>
        <v>8.3328852966301666E-3</v>
      </c>
      <c r="AS171" s="25"/>
      <c r="AT171" s="25"/>
      <c r="AU171" s="24"/>
      <c r="AV171" s="298">
        <f t="shared" si="128"/>
        <v>0.50304553853489897</v>
      </c>
      <c r="AW171" s="298"/>
      <c r="AX171" s="24">
        <f t="shared" si="129"/>
        <v>20838.506172839505</v>
      </c>
      <c r="AY171" s="308"/>
      <c r="AZ171" s="10"/>
      <c r="BA171" s="65">
        <f t="shared" si="130"/>
        <v>827184</v>
      </c>
      <c r="BB171" s="66"/>
      <c r="BC171" s="66">
        <v>80299670</v>
      </c>
      <c r="BD171" s="66"/>
      <c r="BE171" s="66">
        <f t="shared" si="131"/>
        <v>49601</v>
      </c>
      <c r="BF171" s="66"/>
      <c r="BG171" s="144">
        <f t="shared" si="132"/>
        <v>5.9963684017098978E-2</v>
      </c>
      <c r="BH171" s="66"/>
      <c r="BI171" s="170"/>
      <c r="BJ171" s="66"/>
      <c r="BK171" s="66">
        <f t="shared" si="133"/>
        <v>5581090</v>
      </c>
      <c r="BL171" s="66"/>
      <c r="BM171" s="144">
        <f t="shared" si="134"/>
        <v>5.346142061855301E-2</v>
      </c>
      <c r="BN171" s="65">
        <f t="shared" si="135"/>
        <v>495676.97530864197</v>
      </c>
      <c r="BO171" s="66"/>
      <c r="BP171" s="66">
        <f t="shared" si="136"/>
        <v>5803822</v>
      </c>
      <c r="BQ171" s="66"/>
      <c r="BR171" s="435">
        <f t="shared" si="137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6753460</v>
      </c>
      <c r="I172" s="16"/>
      <c r="J172" s="436">
        <f t="shared" si="117"/>
        <v>6.3569172080824941E-3</v>
      </c>
      <c r="K172" s="16"/>
      <c r="L172" s="16"/>
      <c r="M172" s="16"/>
      <c r="N172" s="16">
        <f t="shared" si="118"/>
        <v>297204</v>
      </c>
      <c r="O172" s="16">
        <f t="shared" si="138"/>
        <v>41432.269938650308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189606</v>
      </c>
      <c r="AB172" s="33"/>
      <c r="AC172" s="46">
        <f t="shared" si="122"/>
        <v>2.8075386542601867E-2</v>
      </c>
      <c r="AD172" s="33"/>
      <c r="AE172" s="33">
        <f t="shared" si="123"/>
        <v>1163.2269938650306</v>
      </c>
      <c r="AF172" s="50"/>
      <c r="AG172" s="33">
        <f t="shared" si="124"/>
        <v>6712</v>
      </c>
      <c r="AH172" s="33">
        <f t="shared" si="112"/>
        <v>817501533.34662843</v>
      </c>
      <c r="AI172" s="213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7"/>
        <v>9.7637979073640375E-3</v>
      </c>
      <c r="AS172" s="25"/>
      <c r="AT172" s="25"/>
      <c r="AU172" s="24"/>
      <c r="AV172" s="298">
        <f t="shared" si="128"/>
        <v>0.50474852890222199</v>
      </c>
      <c r="AW172" s="298"/>
      <c r="AX172" s="24">
        <f t="shared" si="129"/>
        <v>20912.877300613498</v>
      </c>
      <c r="AY172" s="308"/>
      <c r="AZ172" s="10"/>
      <c r="BA172" s="65">
        <f t="shared" si="130"/>
        <v>802727</v>
      </c>
      <c r="BB172" s="66"/>
      <c r="BC172" s="66">
        <v>81102397</v>
      </c>
      <c r="BD172" s="66"/>
      <c r="BE172" s="66">
        <f t="shared" si="131"/>
        <v>42660</v>
      </c>
      <c r="BF172" s="66"/>
      <c r="BG172" s="144">
        <f t="shared" si="132"/>
        <v>5.3143845915236437E-2</v>
      </c>
      <c r="BH172" s="66"/>
      <c r="BI172" s="170"/>
      <c r="BJ172" s="66"/>
      <c r="BK172" s="66">
        <f t="shared" si="133"/>
        <v>5627222</v>
      </c>
      <c r="BL172" s="66"/>
      <c r="BM172" s="144">
        <f t="shared" si="134"/>
        <v>5.2815403408644622E-2</v>
      </c>
      <c r="BN172" s="65">
        <f t="shared" si="135"/>
        <v>497560.71779141104</v>
      </c>
      <c r="BO172" s="66"/>
      <c r="BP172" s="66">
        <f t="shared" si="136"/>
        <v>5846482</v>
      </c>
      <c r="BQ172" s="66"/>
      <c r="BR172" s="435">
        <f t="shared" si="137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6787441</v>
      </c>
      <c r="I173" s="16"/>
      <c r="J173" s="436">
        <f t="shared" si="117"/>
        <v>5.0316430392717219E-3</v>
      </c>
      <c r="K173" s="16"/>
      <c r="L173" s="16"/>
      <c r="M173" s="16"/>
      <c r="N173" s="16">
        <f t="shared" si="118"/>
        <v>298467</v>
      </c>
      <c r="O173" s="16">
        <f t="shared" si="138"/>
        <v>41386.835365853658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189975</v>
      </c>
      <c r="AB173" s="33"/>
      <c r="AC173" s="46">
        <f t="shared" si="122"/>
        <v>2.7989193570890709E-2</v>
      </c>
      <c r="AD173" s="33"/>
      <c r="AE173" s="33">
        <f t="shared" si="123"/>
        <v>1158.3841463414635</v>
      </c>
      <c r="AF173" s="50"/>
      <c r="AG173" s="33">
        <f t="shared" si="124"/>
        <v>6651</v>
      </c>
      <c r="AH173" s="33">
        <f t="shared" si="112"/>
        <v>817430450.34662843</v>
      </c>
      <c r="AI173" s="213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7"/>
        <v>4.9647984524754905E-3</v>
      </c>
      <c r="AS173" s="25"/>
      <c r="AT173" s="25"/>
      <c r="AU173" s="24"/>
      <c r="AV173" s="298">
        <f t="shared" si="128"/>
        <v>0.50471495811160638</v>
      </c>
      <c r="AW173" s="298"/>
      <c r="AX173" s="24">
        <f t="shared" si="129"/>
        <v>20888.554878048781</v>
      </c>
      <c r="AY173" s="308"/>
      <c r="AZ173" s="348"/>
      <c r="BA173" s="65">
        <f t="shared" si="130"/>
        <v>727682</v>
      </c>
      <c r="BB173" s="66"/>
      <c r="BC173" s="66">
        <v>81830079</v>
      </c>
      <c r="BD173" s="66"/>
      <c r="BE173" s="66">
        <f t="shared" si="131"/>
        <v>33981</v>
      </c>
      <c r="BF173" s="66"/>
      <c r="BG173" s="144">
        <f t="shared" si="132"/>
        <v>4.6697595927891578E-2</v>
      </c>
      <c r="BH173" s="66"/>
      <c r="BI173" s="170"/>
      <c r="BJ173" s="66"/>
      <c r="BK173" s="66">
        <f t="shared" si="133"/>
        <v>5670701</v>
      </c>
      <c r="BL173" s="66"/>
      <c r="BM173" s="144">
        <f t="shared" si="134"/>
        <v>5.2633175334054823E-2</v>
      </c>
      <c r="BN173" s="65">
        <f t="shared" si="135"/>
        <v>498963.89634146343</v>
      </c>
      <c r="BO173" s="66"/>
      <c r="BP173" s="66">
        <f t="shared" si="136"/>
        <v>5880463</v>
      </c>
      <c r="BQ173" s="66"/>
      <c r="BR173" s="435">
        <f t="shared" si="137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6826001</v>
      </c>
      <c r="I174" s="16"/>
      <c r="J174" s="436">
        <f t="shared" si="117"/>
        <v>5.6810806900568266E-3</v>
      </c>
      <c r="K174" s="16"/>
      <c r="L174" s="16"/>
      <c r="M174" s="16"/>
      <c r="N174" s="426">
        <f>SUM(D144:D174)</f>
        <v>1493931</v>
      </c>
      <c r="O174" s="16">
        <f t="shared" si="138"/>
        <v>41369.703030303033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190487</v>
      </c>
      <c r="AB174" s="33"/>
      <c r="AC174" s="46">
        <f t="shared" si="122"/>
        <v>2.7906090256945466E-2</v>
      </c>
      <c r="AD174" s="33"/>
      <c r="AE174" s="33">
        <f t="shared" si="123"/>
        <v>1154.4666666666667</v>
      </c>
      <c r="AF174" s="50"/>
      <c r="AG174" s="33">
        <f t="shared" si="124"/>
        <v>6653</v>
      </c>
      <c r="AH174" s="33">
        <f t="shared" si="112"/>
        <v>817371909.34662843</v>
      </c>
      <c r="AI174" s="213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7"/>
        <v>8.9149064299711336E-3</v>
      </c>
      <c r="AS174" s="25"/>
      <c r="AT174" s="25"/>
      <c r="AU174" s="24"/>
      <c r="AV174" s="298">
        <f t="shared" si="128"/>
        <v>0.50633789828041342</v>
      </c>
      <c r="AW174" s="298"/>
      <c r="AX174" s="24">
        <f t="shared" si="129"/>
        <v>20947.048484848485</v>
      </c>
      <c r="AY174" s="308"/>
      <c r="AZ174" s="10"/>
      <c r="BA174" s="65">
        <f t="shared" si="130"/>
        <v>794762</v>
      </c>
      <c r="BB174" s="66"/>
      <c r="BC174" s="66">
        <v>82624841</v>
      </c>
      <c r="BD174" s="66"/>
      <c r="BE174" s="66">
        <f t="shared" si="131"/>
        <v>38560</v>
      </c>
      <c r="BF174" s="66"/>
      <c r="BG174" s="144">
        <f t="shared" si="132"/>
        <v>4.8517669440662742E-2</v>
      </c>
      <c r="BH174" s="66"/>
      <c r="BI174" s="170"/>
      <c r="BJ174" s="66"/>
      <c r="BK174" s="66">
        <f t="shared" si="133"/>
        <v>5741362</v>
      </c>
      <c r="BL174" s="66"/>
      <c r="BM174" s="144">
        <f t="shared" si="134"/>
        <v>5.147611315921205E-2</v>
      </c>
      <c r="BN174" s="65">
        <f t="shared" si="135"/>
        <v>500756.61212121212</v>
      </c>
      <c r="BO174" s="66"/>
      <c r="BP174" s="66">
        <f t="shared" si="136"/>
        <v>5919023</v>
      </c>
      <c r="BQ174" s="66"/>
      <c r="BR174" s="435">
        <f t="shared" si="137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6867980</v>
      </c>
      <c r="I175" s="16"/>
      <c r="J175" s="436">
        <f t="shared" si="117"/>
        <v>6.1498672502391955E-3</v>
      </c>
      <c r="K175" s="16"/>
      <c r="L175" s="16"/>
      <c r="M175" s="16"/>
      <c r="N175" s="16">
        <f t="shared" si="118"/>
        <v>297424</v>
      </c>
      <c r="O175" s="16">
        <f t="shared" si="138"/>
        <v>41373.373493975902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191651</v>
      </c>
      <c r="AB175" s="33"/>
      <c r="AC175" s="46">
        <f t="shared" si="122"/>
        <v>2.7905002635418275E-2</v>
      </c>
      <c r="AD175" s="33"/>
      <c r="AE175" s="33">
        <f t="shared" si="123"/>
        <v>1154.5240963855422</v>
      </c>
      <c r="AF175" s="50"/>
      <c r="AG175" s="33">
        <f t="shared" si="124"/>
        <v>6527</v>
      </c>
      <c r="AH175" s="33">
        <f t="shared" si="112"/>
        <v>817322871.34662843</v>
      </c>
      <c r="AI175" s="213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7"/>
        <v>1.1761257751507916E-2</v>
      </c>
      <c r="AS175" s="25"/>
      <c r="AT175" s="25"/>
      <c r="AU175" s="24"/>
      <c r="AV175" s="298">
        <f t="shared" si="128"/>
        <v>0.50916179138553108</v>
      </c>
      <c r="AW175" s="298"/>
      <c r="AX175" s="24">
        <f t="shared" si="129"/>
        <v>21065.74096385542</v>
      </c>
      <c r="AY175" s="308"/>
      <c r="AZ175" s="10"/>
      <c r="BA175" s="65">
        <f t="shared" si="130"/>
        <v>725278</v>
      </c>
      <c r="BB175" s="66"/>
      <c r="BC175" s="66">
        <v>83350119</v>
      </c>
      <c r="BD175" s="66"/>
      <c r="BE175" s="66">
        <f t="shared" si="131"/>
        <v>41979</v>
      </c>
      <c r="BF175" s="66"/>
      <c r="BG175" s="144">
        <f t="shared" si="132"/>
        <v>5.7879875027230937E-2</v>
      </c>
      <c r="BH175" s="66"/>
      <c r="BI175" s="170"/>
      <c r="BJ175" s="66"/>
      <c r="BK175" s="66">
        <f t="shared" si="133"/>
        <v>5418712</v>
      </c>
      <c r="BL175" s="66"/>
      <c r="BM175" s="144">
        <f t="shared" si="134"/>
        <v>5.4888320324091779E-2</v>
      </c>
      <c r="BN175" s="65">
        <f t="shared" si="135"/>
        <v>502109.15060240962</v>
      </c>
      <c r="BO175" s="66"/>
      <c r="BP175" s="66">
        <f t="shared" si="136"/>
        <v>5961002</v>
      </c>
      <c r="BQ175" s="66"/>
      <c r="BR175" s="435">
        <f t="shared" si="137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6909191</v>
      </c>
      <c r="I176" s="16"/>
      <c r="J176" s="436">
        <f t="shared" si="117"/>
        <v>6.0004542820450849E-3</v>
      </c>
      <c r="K176" s="16"/>
      <c r="L176" s="16"/>
      <c r="M176" s="16"/>
      <c r="N176" s="16">
        <f t="shared" si="118"/>
        <v>293998</v>
      </c>
      <c r="O176" s="16">
        <f t="shared" si="138"/>
        <v>41372.401197604791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192741</v>
      </c>
      <c r="AB176" s="33"/>
      <c r="AC176" s="46">
        <f t="shared" si="122"/>
        <v>2.7896319554633821E-2</v>
      </c>
      <c r="AD176" s="33"/>
      <c r="AE176" s="33">
        <f t="shared" si="123"/>
        <v>1154.1377245508982</v>
      </c>
      <c r="AF176" s="50"/>
      <c r="AG176" s="33">
        <f t="shared" si="124"/>
        <v>6337</v>
      </c>
      <c r="AH176" s="33">
        <f t="shared" si="112"/>
        <v>817274225.34662843</v>
      </c>
      <c r="AI176" s="213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7"/>
        <v>1.4332355423197546E-2</v>
      </c>
      <c r="AS176" s="25"/>
      <c r="AT176" s="25"/>
      <c r="AU176" s="24"/>
      <c r="AV176" s="298">
        <f t="shared" si="128"/>
        <v>0.51337877328908699</v>
      </c>
      <c r="AW176" s="298"/>
      <c r="AX176" s="24">
        <f t="shared" si="129"/>
        <v>21239.712574850299</v>
      </c>
      <c r="AY176" s="308"/>
      <c r="AZ176" s="10"/>
      <c r="BA176" s="65">
        <f t="shared" si="130"/>
        <v>748292</v>
      </c>
      <c r="BB176" s="66"/>
      <c r="BC176" s="66">
        <v>84098411</v>
      </c>
      <c r="BD176" s="66"/>
      <c r="BE176" s="66">
        <f t="shared" si="131"/>
        <v>41211</v>
      </c>
      <c r="BF176" s="66"/>
      <c r="BG176" s="144">
        <f t="shared" si="132"/>
        <v>5.5073420536368156E-2</v>
      </c>
      <c r="BH176" s="66"/>
      <c r="BI176" s="170"/>
      <c r="BJ176" s="66"/>
      <c r="BK176" s="66">
        <f t="shared" si="133"/>
        <v>5465845</v>
      </c>
      <c r="BL176" s="66"/>
      <c r="BM176" s="144">
        <f t="shared" si="134"/>
        <v>5.3788206581050137E-2</v>
      </c>
      <c r="BN176" s="65">
        <f t="shared" si="135"/>
        <v>503583.29940119758</v>
      </c>
      <c r="BO176" s="66"/>
      <c r="BP176" s="66">
        <f t="shared" si="136"/>
        <v>6002213</v>
      </c>
      <c r="BQ176" s="66"/>
      <c r="BR176" s="435">
        <f t="shared" si="137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6954655</v>
      </c>
      <c r="I177" s="16"/>
      <c r="J177" s="436">
        <f t="shared" si="117"/>
        <v>6.5802204628588211E-3</v>
      </c>
      <c r="K177" s="16"/>
      <c r="L177" s="16"/>
      <c r="M177" s="16"/>
      <c r="N177" s="16">
        <f t="shared" si="118"/>
        <v>293456</v>
      </c>
      <c r="O177" s="16">
        <f t="shared" si="138"/>
        <v>41396.755952380954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193855</v>
      </c>
      <c r="AB177" s="33"/>
      <c r="AC177" s="46">
        <f t="shared" si="122"/>
        <v>2.787413610020914E-2</v>
      </c>
      <c r="AD177" s="33"/>
      <c r="AE177" s="33">
        <f t="shared" si="123"/>
        <v>1153.8988095238096</v>
      </c>
      <c r="AF177" s="50"/>
      <c r="AG177" s="33">
        <f t="shared" si="124"/>
        <v>6308</v>
      </c>
      <c r="AH177" s="33">
        <f t="shared" si="112"/>
        <v>817219661.34662843</v>
      </c>
      <c r="AI177" s="213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7"/>
        <v>7.9119669628015758E-3</v>
      </c>
      <c r="AS177" s="25"/>
      <c r="AT177" s="25"/>
      <c r="AU177" s="24"/>
      <c r="AV177" s="298">
        <f t="shared" si="128"/>
        <v>0.51405799424989451</v>
      </c>
      <c r="AW177" s="298"/>
      <c r="AX177" s="24">
        <f t="shared" si="129"/>
        <v>21280.333333333332</v>
      </c>
      <c r="AY177" s="308"/>
      <c r="AZ177" s="10"/>
      <c r="BA177" s="65">
        <f t="shared" si="130"/>
        <v>783118</v>
      </c>
      <c r="BB177" s="66"/>
      <c r="BC177" s="66">
        <v>84881529</v>
      </c>
      <c r="BD177" s="66"/>
      <c r="BE177" s="66">
        <f t="shared" si="131"/>
        <v>45464</v>
      </c>
      <c r="BF177" s="66"/>
      <c r="BG177" s="144">
        <f t="shared" si="132"/>
        <v>5.8055107914771462E-2</v>
      </c>
      <c r="BH177" s="66"/>
      <c r="BI177" s="170"/>
      <c r="BJ177" s="66"/>
      <c r="BK177" s="66">
        <f t="shared" si="133"/>
        <v>5409043</v>
      </c>
      <c r="BL177" s="66"/>
      <c r="BM177" s="144">
        <f t="shared" si="134"/>
        <v>5.4252850273144436E-2</v>
      </c>
      <c r="BN177" s="65">
        <f t="shared" si="135"/>
        <v>505247.19642857142</v>
      </c>
      <c r="BO177" s="66"/>
      <c r="BP177" s="66">
        <f t="shared" si="136"/>
        <v>6047677</v>
      </c>
      <c r="BQ177" s="66"/>
      <c r="BR177" s="435">
        <f t="shared" si="137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7007504</v>
      </c>
      <c r="I178" s="16"/>
      <c r="J178" s="436">
        <f t="shared" si="117"/>
        <v>7.5990829164063493E-3</v>
      </c>
      <c r="K178" s="16"/>
      <c r="L178" s="16"/>
      <c r="M178" s="16"/>
      <c r="N178" s="16">
        <f t="shared" si="118"/>
        <v>296704</v>
      </c>
      <c r="O178" s="16">
        <f t="shared" si="138"/>
        <v>41464.520710059172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194888</v>
      </c>
      <c r="AB178" s="33"/>
      <c r="AC178" s="46">
        <f t="shared" si="122"/>
        <v>2.7811329112334436E-2</v>
      </c>
      <c r="AD178" s="33"/>
      <c r="AE178" s="33">
        <f t="shared" si="123"/>
        <v>1153.1834319526627</v>
      </c>
      <c r="AF178" s="50"/>
      <c r="AG178" s="33">
        <f t="shared" si="124"/>
        <v>6236</v>
      </c>
      <c r="AH178" s="33">
        <f t="shared" si="112"/>
        <v>817164513.34662843</v>
      </c>
      <c r="AI178" s="213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7"/>
        <v>2.8383293763300343E-2</v>
      </c>
      <c r="AS178" s="25"/>
      <c r="AT178" s="25"/>
      <c r="AU178" s="24"/>
      <c r="AV178" s="298">
        <f t="shared" si="128"/>
        <v>0.52466170550883739</v>
      </c>
      <c r="AW178" s="298"/>
      <c r="AX178" s="24">
        <f t="shared" si="129"/>
        <v>21754.846153846152</v>
      </c>
      <c r="AY178" s="308"/>
      <c r="AZ178" s="10"/>
      <c r="BA178" s="65">
        <f t="shared" si="130"/>
        <v>1014188</v>
      </c>
      <c r="BB178" s="66"/>
      <c r="BC178" s="66">
        <v>85895717</v>
      </c>
      <c r="BD178" s="66"/>
      <c r="BE178" s="66">
        <f t="shared" si="131"/>
        <v>52849</v>
      </c>
      <c r="BF178" s="66"/>
      <c r="BG178" s="144">
        <f t="shared" si="132"/>
        <v>5.2109668029990494E-2</v>
      </c>
      <c r="BH178" s="66"/>
      <c r="BI178" s="170"/>
      <c r="BJ178" s="66"/>
      <c r="BK178" s="66">
        <f t="shared" si="133"/>
        <v>5596047</v>
      </c>
      <c r="BL178" s="66"/>
      <c r="BM178" s="144">
        <f t="shared" si="134"/>
        <v>5.3020283782462874E-2</v>
      </c>
      <c r="BN178" s="65">
        <f t="shared" si="135"/>
        <v>508258.68047337281</v>
      </c>
      <c r="BO178" s="66"/>
      <c r="BP178" s="66">
        <f t="shared" si="136"/>
        <v>6100526</v>
      </c>
      <c r="BQ178" s="66"/>
      <c r="BR178" s="435">
        <f t="shared" si="137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7049596</v>
      </c>
      <c r="I179" s="16"/>
      <c r="J179" s="436">
        <f t="shared" si="117"/>
        <v>6.0067036708077509E-3</v>
      </c>
      <c r="K179" s="16"/>
      <c r="L179" s="16"/>
      <c r="M179" s="16"/>
      <c r="N179" s="16">
        <f t="shared" si="118"/>
        <v>296136</v>
      </c>
      <c r="O179" s="16">
        <f t="shared" si="138"/>
        <v>41468.211764705884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195595</v>
      </c>
      <c r="AB179" s="33"/>
      <c r="AC179" s="46">
        <f t="shared" si="122"/>
        <v>2.7745561589628681E-2</v>
      </c>
      <c r="AD179" s="33"/>
      <c r="AE179" s="33">
        <f t="shared" si="123"/>
        <v>1150.5588235294117</v>
      </c>
      <c r="AF179" s="50"/>
      <c r="AG179" s="33">
        <f t="shared" si="124"/>
        <v>5989</v>
      </c>
      <c r="AH179" s="33">
        <f t="shared" si="112"/>
        <v>817105803.34662843</v>
      </c>
      <c r="AI179" s="213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7"/>
        <v>8.2770104409845158E-3</v>
      </c>
      <c r="AS179" s="25"/>
      <c r="AT179" s="25"/>
      <c r="AU179" s="24"/>
      <c r="AV179" s="298">
        <f t="shared" si="128"/>
        <v>0.52584573640815724</v>
      </c>
      <c r="AW179" s="298"/>
      <c r="AX179" s="24">
        <f t="shared" si="129"/>
        <v>21805.882352941175</v>
      </c>
      <c r="AY179" s="308"/>
      <c r="AZ179" s="10"/>
      <c r="BA179" s="65">
        <f t="shared" si="130"/>
        <v>863485</v>
      </c>
      <c r="BB179" s="66"/>
      <c r="BC179" s="66">
        <v>86759202</v>
      </c>
      <c r="BD179" s="66"/>
      <c r="BE179" s="66">
        <f t="shared" si="131"/>
        <v>42092</v>
      </c>
      <c r="BF179" s="66"/>
      <c r="BG179" s="144">
        <f t="shared" si="132"/>
        <v>4.8746648754755435E-2</v>
      </c>
      <c r="BH179" s="66"/>
      <c r="BI179" s="170"/>
      <c r="BJ179" s="66"/>
      <c r="BK179" s="66">
        <f t="shared" si="133"/>
        <v>5656805</v>
      </c>
      <c r="BL179" s="66"/>
      <c r="BM179" s="144">
        <f t="shared" si="134"/>
        <v>5.2350399209447736E-2</v>
      </c>
      <c r="BN179" s="65">
        <f t="shared" si="135"/>
        <v>510348.24705882353</v>
      </c>
      <c r="BO179" s="66"/>
      <c r="BP179" s="66">
        <f t="shared" si="136"/>
        <v>6142618</v>
      </c>
      <c r="BQ179" s="66"/>
      <c r="BR179" s="435">
        <f t="shared" si="137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7080706</v>
      </c>
      <c r="I180" s="16"/>
      <c r="J180" s="436">
        <f t="shared" si="117"/>
        <v>4.41301884533525E-3</v>
      </c>
      <c r="K180" s="16"/>
      <c r="L180" s="16"/>
      <c r="M180" s="16"/>
      <c r="N180" s="16">
        <f t="shared" si="118"/>
        <v>293265</v>
      </c>
      <c r="O180" s="16">
        <f t="shared" si="138"/>
        <v>41407.637426900583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196025</v>
      </c>
      <c r="AB180" s="33"/>
      <c r="AC180" s="46">
        <f t="shared" si="122"/>
        <v>2.768438627447602E-2</v>
      </c>
      <c r="AD180" s="33"/>
      <c r="AE180" s="33">
        <f t="shared" si="123"/>
        <v>1146.3450292397661</v>
      </c>
      <c r="AF180" s="50"/>
      <c r="AG180" s="33">
        <f t="shared" si="124"/>
        <v>6050</v>
      </c>
      <c r="AH180" s="33">
        <f t="shared" si="112"/>
        <v>817042557.34662843</v>
      </c>
      <c r="AI180" s="213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7"/>
        <v>5.1173455624494201E-3</v>
      </c>
      <c r="AS180" s="25"/>
      <c r="AT180" s="25"/>
      <c r="AU180" s="24"/>
      <c r="AV180" s="298">
        <f t="shared" si="128"/>
        <v>0.52621447635306418</v>
      </c>
      <c r="AW180" s="298"/>
      <c r="AX180" s="24">
        <f t="shared" si="129"/>
        <v>21789.298245614034</v>
      </c>
      <c r="AY180" s="308"/>
      <c r="AZ180" s="348"/>
      <c r="BA180" s="65">
        <f t="shared" si="130"/>
        <v>715717</v>
      </c>
      <c r="BB180" s="66"/>
      <c r="BC180" s="66">
        <v>87474919</v>
      </c>
      <c r="BD180" s="66"/>
      <c r="BE180" s="66">
        <f t="shared" si="131"/>
        <v>31110</v>
      </c>
      <c r="BF180" s="66"/>
      <c r="BG180" s="144">
        <f t="shared" si="132"/>
        <v>4.3466901023728653E-2</v>
      </c>
      <c r="BH180" s="66"/>
      <c r="BI180" s="170"/>
      <c r="BJ180" s="66"/>
      <c r="BK180" s="66">
        <f t="shared" si="133"/>
        <v>5644840</v>
      </c>
      <c r="BL180" s="66"/>
      <c r="BM180" s="144">
        <f t="shared" si="134"/>
        <v>5.1952756854047238E-2</v>
      </c>
      <c r="BN180" s="65">
        <f t="shared" si="135"/>
        <v>511549.23391812865</v>
      </c>
      <c r="BO180" s="66"/>
      <c r="BP180" s="66">
        <f t="shared" si="136"/>
        <v>6173728</v>
      </c>
      <c r="BQ180" s="66"/>
      <c r="BR180" s="435">
        <f t="shared" si="137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7106126</v>
      </c>
      <c r="I181" s="16"/>
      <c r="J181" s="436">
        <f t="shared" si="117"/>
        <v>3.5900374906118119E-3</v>
      </c>
      <c r="K181" s="16"/>
      <c r="L181" s="16"/>
      <c r="M181" s="16"/>
      <c r="N181" s="16">
        <f t="shared" si="118"/>
        <v>280125</v>
      </c>
      <c r="O181" s="16">
        <f t="shared" si="138"/>
        <v>41314.686046511626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196311</v>
      </c>
      <c r="AB181" s="33"/>
      <c r="AC181" s="46">
        <f t="shared" si="122"/>
        <v>2.7625600784449925E-2</v>
      </c>
      <c r="AD181" s="33"/>
      <c r="AE181" s="33">
        <f t="shared" si="123"/>
        <v>1141.3430232558139</v>
      </c>
      <c r="AF181" s="50"/>
      <c r="AG181" s="33">
        <f t="shared" si="124"/>
        <v>5824</v>
      </c>
      <c r="AH181" s="33">
        <f t="shared" si="112"/>
        <v>816988358.34662843</v>
      </c>
      <c r="AI181" s="213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7"/>
        <v>8.7652342879840691E-3</v>
      </c>
      <c r="AS181" s="25"/>
      <c r="AT181" s="25"/>
      <c r="AU181" s="24"/>
      <c r="AV181" s="298">
        <f t="shared" si="128"/>
        <v>0.52892799818072467</v>
      </c>
      <c r="AW181" s="298"/>
      <c r="AX181" s="24">
        <f t="shared" si="129"/>
        <v>21852.494186046511</v>
      </c>
      <c r="AY181" s="308"/>
      <c r="AZ181" s="10"/>
      <c r="BA181" s="65">
        <f t="shared" si="130"/>
        <v>592931</v>
      </c>
      <c r="BB181" s="66"/>
      <c r="BC181" s="66">
        <v>88067850</v>
      </c>
      <c r="BD181" s="66"/>
      <c r="BE181" s="66">
        <f t="shared" si="131"/>
        <v>25420</v>
      </c>
      <c r="BF181" s="66"/>
      <c r="BG181" s="144">
        <f t="shared" si="132"/>
        <v>4.2871767541248475E-2</v>
      </c>
      <c r="BH181" s="66"/>
      <c r="BI181" s="170"/>
      <c r="BJ181" s="66"/>
      <c r="BK181" s="66">
        <f t="shared" si="133"/>
        <v>5443009</v>
      </c>
      <c r="BL181" s="66"/>
      <c r="BM181" s="144">
        <f t="shared" si="134"/>
        <v>5.1465099543285708E-2</v>
      </c>
      <c r="BN181" s="65">
        <f t="shared" si="135"/>
        <v>512022.38372093026</v>
      </c>
      <c r="BO181" s="66"/>
      <c r="BP181" s="66">
        <f t="shared" si="136"/>
        <v>6199148</v>
      </c>
      <c r="BQ181" s="66"/>
      <c r="BR181" s="435">
        <f t="shared" si="137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7134565</v>
      </c>
      <c r="I182" s="16"/>
      <c r="J182" s="436">
        <f t="shared" si="117"/>
        <v>4.0020399300547162E-3</v>
      </c>
      <c r="K182" s="16"/>
      <c r="L182" s="16"/>
      <c r="M182" s="16"/>
      <c r="N182" s="16">
        <f t="shared" si="118"/>
        <v>266585</v>
      </c>
      <c r="O182" s="16">
        <f t="shared" si="138"/>
        <v>41240.260115606936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196807</v>
      </c>
      <c r="AB182" s="33"/>
      <c r="AC182" s="46">
        <f t="shared" si="122"/>
        <v>2.7585003430482449E-2</v>
      </c>
      <c r="AD182" s="33"/>
      <c r="AE182" s="33">
        <f t="shared" si="123"/>
        <v>1137.6127167630059</v>
      </c>
      <c r="AF182" s="50"/>
      <c r="AG182" s="33">
        <f t="shared" si="124"/>
        <v>5156</v>
      </c>
      <c r="AH182" s="33">
        <f t="shared" si="112"/>
        <v>816940509.34662843</v>
      </c>
      <c r="AI182" s="213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7"/>
        <v>1.0144922523611669E-2</v>
      </c>
      <c r="AS182" s="25"/>
      <c r="AT182" s="25"/>
      <c r="AU182" s="24"/>
      <c r="AV182" s="298">
        <f t="shared" si="128"/>
        <v>0.53216418940748311</v>
      </c>
      <c r="AW182" s="298"/>
      <c r="AX182" s="24">
        <f t="shared" si="129"/>
        <v>21946.589595375721</v>
      </c>
      <c r="AY182" s="308"/>
      <c r="AZ182" s="10"/>
      <c r="BA182" s="65">
        <f t="shared" si="130"/>
        <v>589124</v>
      </c>
      <c r="BB182" s="66"/>
      <c r="BC182" s="66">
        <v>88656974</v>
      </c>
      <c r="BD182" s="66"/>
      <c r="BE182" s="66">
        <f t="shared" si="131"/>
        <v>28439</v>
      </c>
      <c r="BF182" s="66"/>
      <c r="BG182" s="144">
        <f t="shared" si="132"/>
        <v>4.8273368594727084E-2</v>
      </c>
      <c r="BH182" s="66"/>
      <c r="BI182" s="170"/>
      <c r="BJ182" s="66"/>
      <c r="BK182" s="66">
        <f t="shared" si="133"/>
        <v>5306855</v>
      </c>
      <c r="BL182" s="66"/>
      <c r="BM182" s="144">
        <f t="shared" si="134"/>
        <v>5.0234084029052987E-2</v>
      </c>
      <c r="BN182" s="65">
        <f t="shared" si="135"/>
        <v>512468.0578034682</v>
      </c>
      <c r="BO182" s="66"/>
      <c r="BP182" s="66">
        <f t="shared" si="136"/>
        <v>6227587</v>
      </c>
      <c r="BQ182" s="66"/>
      <c r="BR182" s="435">
        <f t="shared" si="137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9">+H182+D183</f>
        <v>7169808</v>
      </c>
      <c r="I183" s="16"/>
      <c r="J183" s="436">
        <f t="shared" ref="J183:J212" si="140">+D183/H182</f>
        <v>4.9397545610699459E-3</v>
      </c>
      <c r="K183" s="16"/>
      <c r="L183" s="16"/>
      <c r="M183" s="16"/>
      <c r="N183" s="16">
        <f t="shared" ref="N183:N212" si="141">SUM(D177:D183)</f>
        <v>260617</v>
      </c>
      <c r="O183" s="16">
        <f t="shared" ref="O183:O212" si="142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3">+AA182+W183</f>
        <v>198015</v>
      </c>
      <c r="AB183" s="33"/>
      <c r="AC183" s="46">
        <f t="shared" ref="AC183:AC212" si="144">+AA183/H183</f>
        <v>2.7617894370393182E-2</v>
      </c>
      <c r="AD183" s="33"/>
      <c r="AE183" s="33">
        <f t="shared" ref="AE183:AE212" si="145">+AA183/BW183</f>
        <v>1138.0172413793102</v>
      </c>
      <c r="AF183" s="50"/>
      <c r="AG183" s="33">
        <f t="shared" ref="AG183:AG195" si="146">SUM(W177:W183)</f>
        <v>5274</v>
      </c>
      <c r="AH183" s="33">
        <f t="shared" si="112"/>
        <v>816890709.34662843</v>
      </c>
      <c r="AI183" s="213">
        <f t="shared" ref="AI183:AI212" si="147">+(AG183-AG176)/AG176</f>
        <v>-0.16774498974278049</v>
      </c>
      <c r="AJ183" s="50"/>
      <c r="AK183" s="10"/>
      <c r="AL183" s="23">
        <f t="shared" ref="AL183:AL212" si="148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9">+AL183/AP182</f>
        <v>1.2993973809247885E-2</v>
      </c>
      <c r="AS183" s="25"/>
      <c r="AT183" s="25"/>
      <c r="AU183" s="24"/>
      <c r="AV183" s="298">
        <f t="shared" ref="AV183:AV212" si="150">+AP183/H183</f>
        <v>0.53642928792514388</v>
      </c>
      <c r="AW183" s="298"/>
      <c r="AX183" s="24">
        <f t="shared" ref="AX183:AX212" si="151">+AP183/BW183</f>
        <v>22103.994252873563</v>
      </c>
      <c r="AY183" s="308"/>
      <c r="AZ183" s="10"/>
      <c r="BA183" s="65">
        <f t="shared" ref="BA183:BA212" si="152">+BC183-BC182</f>
        <v>626098</v>
      </c>
      <c r="BB183" s="66"/>
      <c r="BC183" s="66">
        <v>89283072</v>
      </c>
      <c r="BD183" s="66"/>
      <c r="BE183" s="66">
        <f t="shared" ref="BE183:BE212" si="153">+D183</f>
        <v>35243</v>
      </c>
      <c r="BF183" s="66"/>
      <c r="BG183" s="144">
        <f t="shared" ref="BG183:BG212" si="154">+BE183/BA183</f>
        <v>5.6289909886311724E-2</v>
      </c>
      <c r="BH183" s="66"/>
      <c r="BI183" s="170"/>
      <c r="BJ183" s="66"/>
      <c r="BK183" s="66">
        <f t="shared" ref="BK183:BK212" si="155">SUM(BA177:BA183)</f>
        <v>5184661</v>
      </c>
      <c r="BL183" s="66"/>
      <c r="BM183" s="144">
        <f t="shared" ref="BM183:BM212" si="156">+Q183/BK183</f>
        <v>5.026693162773805E-2</v>
      </c>
      <c r="BN183" s="65">
        <f t="shared" ref="BN183:BN212" si="157">+BC183/BW183</f>
        <v>513121.10344827588</v>
      </c>
      <c r="BO183" s="66"/>
      <c r="BP183" s="66">
        <f t="shared" ref="BP183:BP212" si="158">+BP182+BE183</f>
        <v>6262830</v>
      </c>
      <c r="BQ183" s="66"/>
      <c r="BR183" s="435">
        <f t="shared" ref="BR183:BR212" si="159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9"/>
        <v>7208619</v>
      </c>
      <c r="I184" s="16"/>
      <c r="J184" s="436">
        <f t="shared" si="140"/>
        <v>5.4131156650219919E-3</v>
      </c>
      <c r="K184" s="16"/>
      <c r="L184" s="16"/>
      <c r="M184" s="16"/>
      <c r="N184" s="16">
        <f t="shared" si="141"/>
        <v>253964</v>
      </c>
      <c r="O184" s="16">
        <f t="shared" si="142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3"/>
        <v>199104</v>
      </c>
      <c r="AB184" s="33"/>
      <c r="AC184" s="46">
        <f t="shared" si="144"/>
        <v>2.7620269568970145E-2</v>
      </c>
      <c r="AD184" s="33"/>
      <c r="AE184" s="33">
        <f t="shared" si="145"/>
        <v>1137.7371428571428</v>
      </c>
      <c r="AF184" s="50"/>
      <c r="AG184" s="33">
        <f t="shared" si="146"/>
        <v>5249</v>
      </c>
      <c r="AH184" s="33">
        <f t="shared" ref="AH184:AH215" si="160">SUM(D155:D589)</f>
        <v>816836190.34662843</v>
      </c>
      <c r="AI184" s="213">
        <f t="shared" si="147"/>
        <v>-0.16788205453392518</v>
      </c>
      <c r="AJ184" s="50"/>
      <c r="AK184" s="10"/>
      <c r="AL184" s="23">
        <f t="shared" si="148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9"/>
        <v>8.8050347170311703E-3</v>
      </c>
      <c r="AS184" s="25"/>
      <c r="AT184" s="25"/>
      <c r="AU184" s="24"/>
      <c r="AV184" s="298">
        <f t="shared" si="150"/>
        <v>0.53823901637747817</v>
      </c>
      <c r="AW184" s="298"/>
      <c r="AX184" s="24">
        <f t="shared" si="151"/>
        <v>22171.200000000001</v>
      </c>
      <c r="AY184" s="308"/>
      <c r="AZ184" s="10"/>
      <c r="BA184" s="65">
        <f t="shared" si="152"/>
        <v>701717</v>
      </c>
      <c r="BB184" s="66"/>
      <c r="BC184" s="66">
        <v>89984789</v>
      </c>
      <c r="BD184" s="66"/>
      <c r="BE184" s="66">
        <f t="shared" si="153"/>
        <v>38811</v>
      </c>
      <c r="BF184" s="66"/>
      <c r="BG184" s="144">
        <f t="shared" si="154"/>
        <v>5.5308621566813973E-2</v>
      </c>
      <c r="BH184" s="66"/>
      <c r="BI184" s="170"/>
      <c r="BJ184" s="66"/>
      <c r="BK184" s="66">
        <f t="shared" si="155"/>
        <v>5103260</v>
      </c>
      <c r="BL184" s="66"/>
      <c r="BM184" s="144">
        <f t="shared" si="156"/>
        <v>4.9765052143139872E-2</v>
      </c>
      <c r="BN184" s="65">
        <f t="shared" si="157"/>
        <v>514198.79428571428</v>
      </c>
      <c r="BO184" s="66"/>
      <c r="BP184" s="66">
        <f t="shared" si="158"/>
        <v>6301641</v>
      </c>
      <c r="BQ184" s="66"/>
      <c r="BR184" s="435">
        <f t="shared" si="159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9"/>
        <v>7255219</v>
      </c>
      <c r="I185" s="16"/>
      <c r="J185" s="436">
        <f t="shared" si="140"/>
        <v>6.4644836965305008E-3</v>
      </c>
      <c r="K185" s="16"/>
      <c r="L185" s="16"/>
      <c r="M185" s="16"/>
      <c r="N185" s="16">
        <f t="shared" si="141"/>
        <v>247715</v>
      </c>
      <c r="O185" s="16">
        <f t="shared" si="142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3"/>
        <v>200198</v>
      </c>
      <c r="AB185" s="33"/>
      <c r="AC185" s="46">
        <f t="shared" si="144"/>
        <v>2.7593653616796405E-2</v>
      </c>
      <c r="AD185" s="33"/>
      <c r="AE185" s="33">
        <f t="shared" si="145"/>
        <v>1137.4886363636363</v>
      </c>
      <c r="AF185" s="50"/>
      <c r="AG185" s="33">
        <f t="shared" si="146"/>
        <v>5310</v>
      </c>
      <c r="AH185" s="33">
        <f t="shared" si="160"/>
        <v>816781845.34662843</v>
      </c>
      <c r="AI185" s="213">
        <f t="shared" si="147"/>
        <v>-0.14849262347658757</v>
      </c>
      <c r="AJ185" s="50"/>
      <c r="AK185" s="10"/>
      <c r="AL185" s="23">
        <f t="shared" si="148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9"/>
        <v>9.7944308704213442E-3</v>
      </c>
      <c r="AS185" s="25"/>
      <c r="AT185" s="25"/>
      <c r="AU185" s="24"/>
      <c r="AV185" s="298">
        <f t="shared" si="150"/>
        <v>0.54001981194502879</v>
      </c>
      <c r="AW185" s="298"/>
      <c r="AX185" s="24">
        <f t="shared" si="151"/>
        <v>22261.147727272728</v>
      </c>
      <c r="AY185" s="308"/>
      <c r="AZ185" s="10"/>
      <c r="BA185" s="65">
        <f t="shared" si="152"/>
        <v>860917</v>
      </c>
      <c r="BB185" s="66"/>
      <c r="BC185" s="66">
        <v>90845706</v>
      </c>
      <c r="BD185" s="66"/>
      <c r="BE185" s="66">
        <f t="shared" si="153"/>
        <v>46600</v>
      </c>
      <c r="BF185" s="66"/>
      <c r="BG185" s="144">
        <f t="shared" si="154"/>
        <v>5.412833060562168E-2</v>
      </c>
      <c r="BH185" s="66"/>
      <c r="BI185" s="170"/>
      <c r="BJ185" s="66"/>
      <c r="BK185" s="66">
        <f t="shared" si="155"/>
        <v>4949989</v>
      </c>
      <c r="BL185" s="66"/>
      <c r="BM185" s="144">
        <f t="shared" si="156"/>
        <v>5.0043545551313344E-2</v>
      </c>
      <c r="BN185" s="65">
        <f t="shared" si="157"/>
        <v>516168.78409090912</v>
      </c>
      <c r="BO185" s="66"/>
      <c r="BP185" s="66">
        <f t="shared" si="158"/>
        <v>6348241</v>
      </c>
      <c r="BQ185" s="66"/>
      <c r="BR185" s="435">
        <f t="shared" si="159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9"/>
        <v>7294501</v>
      </c>
      <c r="I186" s="16"/>
      <c r="J186" s="436">
        <f t="shared" si="140"/>
        <v>5.4143093406277603E-3</v>
      </c>
      <c r="K186" s="16"/>
      <c r="L186" s="16"/>
      <c r="M186" s="16"/>
      <c r="N186" s="16">
        <f t="shared" si="141"/>
        <v>244905</v>
      </c>
      <c r="O186" s="16">
        <f t="shared" si="142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3"/>
        <v>200905</v>
      </c>
      <c r="AB186" s="33"/>
      <c r="AC186" s="46">
        <f t="shared" si="144"/>
        <v>2.7541979910620344E-2</v>
      </c>
      <c r="AD186" s="33"/>
      <c r="AE186" s="33">
        <f t="shared" si="145"/>
        <v>1135.0564971751412</v>
      </c>
      <c r="AF186" s="50"/>
      <c r="AG186" s="33">
        <f t="shared" si="146"/>
        <v>5310</v>
      </c>
      <c r="AH186" s="33">
        <f t="shared" si="160"/>
        <v>816726481.34662843</v>
      </c>
      <c r="AI186" s="213">
        <f t="shared" si="147"/>
        <v>-0.11337451995324763</v>
      </c>
      <c r="AJ186" s="50"/>
      <c r="AK186" s="10"/>
      <c r="AL186" s="23">
        <f t="shared" si="148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9"/>
        <v>8.2675635955632033E-3</v>
      </c>
      <c r="AS186" s="25"/>
      <c r="AT186" s="25"/>
      <c r="AU186" s="24"/>
      <c r="AV186" s="298">
        <f t="shared" si="150"/>
        <v>0.54155232825384492</v>
      </c>
      <c r="AW186" s="298"/>
      <c r="AX186" s="24">
        <f t="shared" si="151"/>
        <v>22318.384180790959</v>
      </c>
      <c r="AY186" s="308"/>
      <c r="AZ186" s="10"/>
      <c r="BA186" s="65">
        <f t="shared" si="152"/>
        <v>857797</v>
      </c>
      <c r="BB186" s="66"/>
      <c r="BC186" s="66">
        <v>91703503</v>
      </c>
      <c r="BD186" s="66"/>
      <c r="BE186" s="66">
        <f t="shared" si="153"/>
        <v>39282</v>
      </c>
      <c r="BF186" s="66"/>
      <c r="BG186" s="144">
        <f t="shared" si="154"/>
        <v>4.5794051506358728E-2</v>
      </c>
      <c r="BH186" s="66"/>
      <c r="BI186" s="170"/>
      <c r="BJ186" s="66"/>
      <c r="BK186" s="66">
        <f t="shared" si="155"/>
        <v>4944301</v>
      </c>
      <c r="BL186" s="66"/>
      <c r="BM186" s="144">
        <f t="shared" si="156"/>
        <v>4.9532785321929229E-2</v>
      </c>
      <c r="BN186" s="65">
        <f t="shared" si="157"/>
        <v>518098.88700564974</v>
      </c>
      <c r="BO186" s="66"/>
      <c r="BP186" s="66">
        <f t="shared" si="158"/>
        <v>6387523</v>
      </c>
      <c r="BQ186" s="66"/>
      <c r="BR186" s="435">
        <f t="shared" si="159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9"/>
        <v>7326358</v>
      </c>
      <c r="I187" s="16"/>
      <c r="J187" s="436">
        <f t="shared" si="140"/>
        <v>4.3672624076684617E-3</v>
      </c>
      <c r="K187" s="16"/>
      <c r="L187" s="16"/>
      <c r="M187" s="16"/>
      <c r="N187" s="16">
        <f t="shared" si="141"/>
        <v>245652</v>
      </c>
      <c r="O187" s="16">
        <f t="shared" si="142"/>
        <v>41159.314606741573</v>
      </c>
      <c r="P187" s="41"/>
      <c r="Q187" s="17">
        <f t="shared" ref="Q187:Q236" si="161">SUM(D181:D187)</f>
        <v>245652</v>
      </c>
      <c r="R187" s="16"/>
      <c r="S187" s="60">
        <f t="shared" ref="S187:S236" si="162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3"/>
        <v>201297</v>
      </c>
      <c r="AB187" s="33"/>
      <c r="AC187" s="46">
        <f t="shared" si="144"/>
        <v>2.7475725319456135E-2</v>
      </c>
      <c r="AD187" s="33"/>
      <c r="AE187" s="33">
        <f t="shared" si="145"/>
        <v>1130.8820224719102</v>
      </c>
      <c r="AF187" s="50"/>
      <c r="AG187" s="33">
        <f t="shared" si="146"/>
        <v>5272</v>
      </c>
      <c r="AH187" s="33">
        <f t="shared" si="160"/>
        <v>816665881.34662843</v>
      </c>
      <c r="AI187" s="213">
        <f t="shared" si="147"/>
        <v>-0.12859504132231406</v>
      </c>
      <c r="AJ187" s="50"/>
      <c r="AK187" s="10"/>
      <c r="AL187" s="23">
        <f t="shared" si="148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9"/>
        <v>6.2260243006069839E-3</v>
      </c>
      <c r="AS187" s="25"/>
      <c r="AT187" s="25"/>
      <c r="AU187" s="24"/>
      <c r="AV187" s="298">
        <f t="shared" si="150"/>
        <v>0.54255456804049162</v>
      </c>
      <c r="AW187" s="298"/>
      <c r="AX187" s="24">
        <f t="shared" si="151"/>
        <v>22331.174157303372</v>
      </c>
      <c r="AY187" s="308"/>
      <c r="AZ187" s="348"/>
      <c r="BA187" s="65">
        <f t="shared" si="152"/>
        <v>699997</v>
      </c>
      <c r="BB187" s="66"/>
      <c r="BC187" s="66">
        <v>92403500</v>
      </c>
      <c r="BD187" s="66"/>
      <c r="BE187" s="66">
        <f t="shared" si="153"/>
        <v>31857</v>
      </c>
      <c r="BF187" s="66"/>
      <c r="BG187" s="144">
        <f t="shared" si="154"/>
        <v>4.5510195043693046E-2</v>
      </c>
      <c r="BH187" s="66"/>
      <c r="BI187" s="170"/>
      <c r="BJ187" s="66"/>
      <c r="BK187" s="66">
        <f t="shared" si="155"/>
        <v>4928581</v>
      </c>
      <c r="BL187" s="66"/>
      <c r="BM187" s="144">
        <f t="shared" si="156"/>
        <v>4.9842337987343617E-2</v>
      </c>
      <c r="BN187" s="65">
        <f t="shared" si="157"/>
        <v>519120.78651685396</v>
      </c>
      <c r="BO187" s="66"/>
      <c r="BP187" s="66">
        <f t="shared" si="158"/>
        <v>6419380</v>
      </c>
      <c r="BQ187" s="66"/>
      <c r="BR187" s="435">
        <f t="shared" si="159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3">1+B187</f>
        <v>44088</v>
      </c>
      <c r="C188" s="61"/>
      <c r="D188" s="17">
        <v>38072</v>
      </c>
      <c r="E188" s="16"/>
      <c r="F188" s="16"/>
      <c r="G188" s="16"/>
      <c r="H188" s="16">
        <f t="shared" si="139"/>
        <v>7364430</v>
      </c>
      <c r="I188" s="16"/>
      <c r="J188" s="436">
        <f t="shared" si="140"/>
        <v>5.1965792553407848E-3</v>
      </c>
      <c r="K188" s="16"/>
      <c r="L188" s="16"/>
      <c r="M188" s="16"/>
      <c r="N188" s="16">
        <f t="shared" si="141"/>
        <v>258304</v>
      </c>
      <c r="O188" s="16">
        <f t="shared" si="142"/>
        <v>41142.067039106143</v>
      </c>
      <c r="P188" s="41"/>
      <c r="Q188" s="17">
        <f t="shared" si="161"/>
        <v>258304</v>
      </c>
      <c r="R188" s="16"/>
      <c r="S188" s="60">
        <f t="shared" si="162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3"/>
        <v>201777</v>
      </c>
      <c r="AB188" s="33"/>
      <c r="AC188" s="46">
        <f t="shared" si="144"/>
        <v>2.7398861826373529E-2</v>
      </c>
      <c r="AD188" s="33"/>
      <c r="AE188" s="33">
        <f t="shared" si="145"/>
        <v>1127.2458100558658</v>
      </c>
      <c r="AF188" s="50"/>
      <c r="AG188" s="33">
        <f t="shared" si="146"/>
        <v>5466</v>
      </c>
      <c r="AH188" s="33">
        <f t="shared" si="160"/>
        <v>816612358.34662843</v>
      </c>
      <c r="AI188" s="213">
        <f t="shared" si="147"/>
        <v>-6.1469780219780217E-2</v>
      </c>
      <c r="AJ188" s="50"/>
      <c r="AK188" s="10"/>
      <c r="AL188" s="23">
        <f t="shared" si="148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9"/>
        <v>1.3302560611469481E-2</v>
      </c>
      <c r="AS188" s="25"/>
      <c r="AT188" s="25"/>
      <c r="AU188" s="24"/>
      <c r="AV188" s="298">
        <f t="shared" si="150"/>
        <v>0.54692976917426062</v>
      </c>
      <c r="AW188" s="298"/>
      <c r="AX188" s="24">
        <f t="shared" si="151"/>
        <v>22501.821229050278</v>
      </c>
      <c r="AY188" s="308"/>
      <c r="AZ188" s="10"/>
      <c r="BA188" s="65">
        <f t="shared" si="152"/>
        <v>486822</v>
      </c>
      <c r="BB188" s="66"/>
      <c r="BC188" s="66">
        <v>92890322</v>
      </c>
      <c r="BD188" s="66"/>
      <c r="BE188" s="66">
        <f t="shared" si="153"/>
        <v>38072</v>
      </c>
      <c r="BF188" s="66"/>
      <c r="BG188" s="144">
        <f t="shared" si="154"/>
        <v>7.8205175608333233E-2</v>
      </c>
      <c r="BH188" s="66"/>
      <c r="BI188" s="170"/>
      <c r="BJ188" s="66"/>
      <c r="BK188" s="66">
        <f t="shared" si="155"/>
        <v>4822472</v>
      </c>
      <c r="BL188" s="66"/>
      <c r="BM188" s="144">
        <f t="shared" si="156"/>
        <v>5.3562571229029431E-2</v>
      </c>
      <c r="BN188" s="65">
        <f t="shared" si="157"/>
        <v>518940.34636871511</v>
      </c>
      <c r="BO188" s="66"/>
      <c r="BP188" s="66">
        <f t="shared" si="158"/>
        <v>6457452</v>
      </c>
      <c r="BQ188" s="66"/>
      <c r="BR188" s="435">
        <f t="shared" si="159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3"/>
        <v>44089</v>
      </c>
      <c r="C189" s="61"/>
      <c r="D189" s="17">
        <v>36447</v>
      </c>
      <c r="E189" s="16"/>
      <c r="F189" s="16"/>
      <c r="G189" s="16"/>
      <c r="H189" s="16">
        <f t="shared" si="139"/>
        <v>7400877</v>
      </c>
      <c r="I189" s="16"/>
      <c r="J189" s="436">
        <f t="shared" si="140"/>
        <v>4.9490591939905732E-3</v>
      </c>
      <c r="K189" s="16"/>
      <c r="L189" s="16"/>
      <c r="M189" s="16"/>
      <c r="N189" s="16">
        <f t="shared" si="141"/>
        <v>266312</v>
      </c>
      <c r="O189" s="16">
        <f t="shared" si="142"/>
        <v>41115.98333333333</v>
      </c>
      <c r="P189" s="41"/>
      <c r="Q189" s="17">
        <f t="shared" si="161"/>
        <v>266312</v>
      </c>
      <c r="R189" s="16"/>
      <c r="S189" s="60">
        <f t="shared" si="162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3"/>
        <v>202974</v>
      </c>
      <c r="AB189" s="33"/>
      <c r="AC189" s="46">
        <f t="shared" si="144"/>
        <v>2.7425668606571897E-2</v>
      </c>
      <c r="AD189" s="33"/>
      <c r="AE189" s="33">
        <f t="shared" si="145"/>
        <v>1127.6333333333334</v>
      </c>
      <c r="AF189" s="50"/>
      <c r="AG189" s="33">
        <f t="shared" si="146"/>
        <v>6167</v>
      </c>
      <c r="AH189" s="33">
        <f t="shared" si="160"/>
        <v>816575515.34662843</v>
      </c>
      <c r="AI189" s="213">
        <f t="shared" si="147"/>
        <v>0.1960822342901474</v>
      </c>
      <c r="AJ189" s="50"/>
      <c r="AK189" s="10"/>
      <c r="AL189" s="23">
        <f t="shared" si="148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9"/>
        <v>9.9954665370351158E-3</v>
      </c>
      <c r="AS189" s="25"/>
      <c r="AT189" s="25"/>
      <c r="AU189" s="24"/>
      <c r="AV189" s="298">
        <f t="shared" si="150"/>
        <v>0.54967620729273026</v>
      </c>
      <c r="AW189" s="298"/>
      <c r="AX189" s="24">
        <f t="shared" si="151"/>
        <v>22600.477777777778</v>
      </c>
      <c r="AY189" s="308"/>
      <c r="AZ189" s="10"/>
      <c r="BA189" s="65">
        <f t="shared" si="152"/>
        <v>741636</v>
      </c>
      <c r="BB189" s="66"/>
      <c r="BC189" s="66">
        <v>93631958</v>
      </c>
      <c r="BD189" s="66"/>
      <c r="BE189" s="66">
        <f t="shared" si="153"/>
        <v>36447</v>
      </c>
      <c r="BF189" s="66"/>
      <c r="BG189" s="144">
        <f t="shared" si="154"/>
        <v>4.9144054495736451E-2</v>
      </c>
      <c r="BH189" s="66"/>
      <c r="BI189" s="170"/>
      <c r="BJ189" s="66"/>
      <c r="BK189" s="66">
        <f t="shared" si="155"/>
        <v>4974984</v>
      </c>
      <c r="BL189" s="66"/>
      <c r="BM189" s="144">
        <f t="shared" si="156"/>
        <v>5.3530222408755483E-2</v>
      </c>
      <c r="BN189" s="65">
        <f t="shared" si="157"/>
        <v>520177.54444444447</v>
      </c>
      <c r="BO189" s="66"/>
      <c r="BP189" s="66">
        <f t="shared" si="158"/>
        <v>6493899</v>
      </c>
      <c r="BQ189" s="66"/>
      <c r="BR189" s="435">
        <f t="shared" si="159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3"/>
        <v>44090</v>
      </c>
      <c r="C190" s="61"/>
      <c r="D190" s="17">
        <v>40154</v>
      </c>
      <c r="E190" s="16"/>
      <c r="F190" s="16"/>
      <c r="G190" s="16"/>
      <c r="H190" s="16">
        <f t="shared" si="139"/>
        <v>7441031</v>
      </c>
      <c r="I190" s="16"/>
      <c r="J190" s="436">
        <f t="shared" si="140"/>
        <v>5.4255732124719814E-3</v>
      </c>
      <c r="K190" s="16"/>
      <c r="L190" s="16"/>
      <c r="M190" s="16"/>
      <c r="N190" s="16">
        <f t="shared" si="141"/>
        <v>271223</v>
      </c>
      <c r="O190" s="16">
        <f t="shared" si="142"/>
        <v>41110.668508287294</v>
      </c>
      <c r="P190" s="41"/>
      <c r="Q190" s="17">
        <f t="shared" si="161"/>
        <v>271223</v>
      </c>
      <c r="R190" s="16"/>
      <c r="S190" s="60">
        <f t="shared" si="162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3"/>
        <v>204125</v>
      </c>
      <c r="AB190" s="33"/>
      <c r="AC190" s="46">
        <f t="shared" si="144"/>
        <v>2.743235446808379E-2</v>
      </c>
      <c r="AD190" s="33"/>
      <c r="AE190" s="33">
        <f t="shared" si="145"/>
        <v>1127.7624309392265</v>
      </c>
      <c r="AF190" s="50"/>
      <c r="AG190" s="33">
        <f t="shared" si="146"/>
        <v>6110</v>
      </c>
      <c r="AH190" s="33">
        <f t="shared" si="160"/>
        <v>816534903.34662843</v>
      </c>
      <c r="AI190" s="213">
        <f t="shared" si="147"/>
        <v>0.15851346226772847</v>
      </c>
      <c r="AJ190" s="50"/>
      <c r="AK190" s="10"/>
      <c r="AL190" s="23">
        <f t="shared" si="148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9"/>
        <v>1.2554306865685731E-2</v>
      </c>
      <c r="AS190" s="25"/>
      <c r="AT190" s="25"/>
      <c r="AU190" s="24"/>
      <c r="AV190" s="298">
        <f t="shared" si="150"/>
        <v>0.5535735572127034</v>
      </c>
      <c r="AW190" s="298"/>
      <c r="AX190" s="24">
        <f t="shared" si="151"/>
        <v>22757.779005524862</v>
      </c>
      <c r="AY190" s="308"/>
      <c r="AZ190" s="10"/>
      <c r="BA190" s="65">
        <f t="shared" si="152"/>
        <v>737109</v>
      </c>
      <c r="BB190" s="66"/>
      <c r="BC190" s="66">
        <v>94369067</v>
      </c>
      <c r="BD190" s="66"/>
      <c r="BE190" s="66">
        <f t="shared" si="153"/>
        <v>40154</v>
      </c>
      <c r="BF190" s="66"/>
      <c r="BG190" s="144">
        <f t="shared" si="154"/>
        <v>5.4474982668777615E-2</v>
      </c>
      <c r="BH190" s="66"/>
      <c r="BI190" s="170"/>
      <c r="BJ190" s="66"/>
      <c r="BK190" s="66">
        <f t="shared" si="155"/>
        <v>5085995</v>
      </c>
      <c r="BL190" s="66"/>
      <c r="BM190" s="144">
        <f t="shared" si="156"/>
        <v>5.3327421674618243E-2</v>
      </c>
      <c r="BN190" s="65">
        <f t="shared" si="157"/>
        <v>521376.06077348068</v>
      </c>
      <c r="BO190" s="66"/>
      <c r="BP190" s="66">
        <f t="shared" si="158"/>
        <v>6534053</v>
      </c>
      <c r="BQ190" s="66"/>
      <c r="BR190" s="435">
        <f t="shared" si="159"/>
        <v>6.9239351492157916E-2</v>
      </c>
      <c r="BS190" s="66"/>
      <c r="BT190" s="75"/>
      <c r="BU190" s="170"/>
      <c r="BV190" s="1"/>
      <c r="BW190" s="61">
        <f t="shared" ref="BW190:BW215" si="164">+BW189+1</f>
        <v>181</v>
      </c>
    </row>
    <row r="191" spans="2:75" x14ac:dyDescent="0.3">
      <c r="B191" s="158">
        <f t="shared" si="163"/>
        <v>44091</v>
      </c>
      <c r="C191" s="61"/>
      <c r="D191" s="17">
        <v>46295</v>
      </c>
      <c r="E191" s="16"/>
      <c r="F191" s="16"/>
      <c r="G191" s="16"/>
      <c r="H191" s="16">
        <f t="shared" si="139"/>
        <v>7487326</v>
      </c>
      <c r="I191" s="16"/>
      <c r="J191" s="436">
        <f t="shared" si="140"/>
        <v>6.2215840788729408E-3</v>
      </c>
      <c r="K191" s="16"/>
      <c r="L191" s="16"/>
      <c r="M191" s="16"/>
      <c r="N191" s="16">
        <f t="shared" si="141"/>
        <v>278707</v>
      </c>
      <c r="O191" s="16">
        <f t="shared" si="142"/>
        <v>41139.153846153844</v>
      </c>
      <c r="P191" s="41"/>
      <c r="Q191" s="17">
        <f t="shared" si="161"/>
        <v>278707</v>
      </c>
      <c r="R191" s="16"/>
      <c r="S191" s="60">
        <f t="shared" si="162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3"/>
        <v>205004</v>
      </c>
      <c r="AB191" s="33"/>
      <c r="AC191" s="46">
        <f t="shared" si="144"/>
        <v>2.7380135444883793E-2</v>
      </c>
      <c r="AD191" s="33"/>
      <c r="AE191" s="33">
        <f t="shared" si="145"/>
        <v>1126.3956043956043</v>
      </c>
      <c r="AF191" s="50"/>
      <c r="AG191" s="33">
        <f t="shared" si="146"/>
        <v>5900</v>
      </c>
      <c r="AH191" s="33">
        <f t="shared" si="160"/>
        <v>816490904.34662843</v>
      </c>
      <c r="AI191" s="213">
        <f t="shared" si="147"/>
        <v>0.12402362354734235</v>
      </c>
      <c r="AJ191" s="50"/>
      <c r="AK191" s="10"/>
      <c r="AL191" s="23">
        <f t="shared" si="148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9"/>
        <v>8.7107607914044573E-3</v>
      </c>
      <c r="AS191" s="25"/>
      <c r="AT191" s="25"/>
      <c r="AU191" s="24"/>
      <c r="AV191" s="298">
        <f t="shared" si="150"/>
        <v>0.55494297964319972</v>
      </c>
      <c r="AW191" s="298"/>
      <c r="AX191" s="24">
        <f t="shared" si="151"/>
        <v>22829.884615384617</v>
      </c>
      <c r="AY191" s="308"/>
      <c r="AZ191" s="10"/>
      <c r="BA191" s="65">
        <f t="shared" si="152"/>
        <v>865955</v>
      </c>
      <c r="BB191" s="66"/>
      <c r="BC191" s="66">
        <v>95235022</v>
      </c>
      <c r="BD191" s="66"/>
      <c r="BE191" s="66">
        <f t="shared" si="153"/>
        <v>46295</v>
      </c>
      <c r="BF191" s="66"/>
      <c r="BG191" s="144">
        <f t="shared" si="154"/>
        <v>5.3461207568522615E-2</v>
      </c>
      <c r="BH191" s="66"/>
      <c r="BI191" s="170"/>
      <c r="BJ191" s="66"/>
      <c r="BK191" s="66">
        <f t="shared" si="155"/>
        <v>5250233</v>
      </c>
      <c r="BL191" s="66"/>
      <c r="BM191" s="144">
        <f t="shared" si="156"/>
        <v>5.3084691669874458E-2</v>
      </c>
      <c r="BN191" s="65">
        <f t="shared" si="157"/>
        <v>523269.35164835164</v>
      </c>
      <c r="BO191" s="66"/>
      <c r="BP191" s="66">
        <f t="shared" si="158"/>
        <v>6580348</v>
      </c>
      <c r="BQ191" s="66"/>
      <c r="BR191" s="435">
        <f t="shared" si="159"/>
        <v>6.9095883655069662E-2</v>
      </c>
      <c r="BS191" s="66"/>
      <c r="BT191" s="75"/>
      <c r="BU191" s="170"/>
      <c r="BV191" s="1"/>
      <c r="BW191" s="61">
        <f t="shared" si="164"/>
        <v>182</v>
      </c>
    </row>
    <row r="192" spans="2:75" x14ac:dyDescent="0.3">
      <c r="B192" s="158">
        <f t="shared" si="163"/>
        <v>44092</v>
      </c>
      <c r="C192" s="61"/>
      <c r="D192" s="17">
        <v>51345</v>
      </c>
      <c r="E192" s="16"/>
      <c r="F192" s="16"/>
      <c r="G192" s="16"/>
      <c r="H192" s="16">
        <f t="shared" si="139"/>
        <v>7538671</v>
      </c>
      <c r="I192" s="16"/>
      <c r="J192" s="436">
        <f t="shared" si="140"/>
        <v>6.8575884100678932E-3</v>
      </c>
      <c r="K192" s="16"/>
      <c r="L192" s="16"/>
      <c r="M192" s="16"/>
      <c r="N192" s="16">
        <f t="shared" si="141"/>
        <v>283452</v>
      </c>
      <c r="O192" s="16">
        <f t="shared" si="142"/>
        <v>41194.923497267759</v>
      </c>
      <c r="P192" s="41"/>
      <c r="Q192" s="17">
        <f t="shared" si="161"/>
        <v>283452</v>
      </c>
      <c r="R192" s="16"/>
      <c r="S192" s="60">
        <f t="shared" si="162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3"/>
        <v>205962</v>
      </c>
      <c r="AB192" s="33"/>
      <c r="AC192" s="46">
        <f t="shared" si="144"/>
        <v>2.7320730669901896E-2</v>
      </c>
      <c r="AD192" s="33"/>
      <c r="AE192" s="33">
        <f t="shared" si="145"/>
        <v>1125.4754098360656</v>
      </c>
      <c r="AF192" s="50"/>
      <c r="AG192" s="33">
        <f t="shared" si="146"/>
        <v>5764</v>
      </c>
      <c r="AH192" s="33">
        <f t="shared" si="160"/>
        <v>816445931.34662843</v>
      </c>
      <c r="AI192" s="213">
        <f t="shared" si="147"/>
        <v>8.5499058380414314E-2</v>
      </c>
      <c r="AJ192" s="50"/>
      <c r="AK192" s="10"/>
      <c r="AL192" s="23">
        <f t="shared" si="148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9"/>
        <v>8.8699528452079509E-3</v>
      </c>
      <c r="AS192" s="25"/>
      <c r="AT192" s="25"/>
      <c r="AU192" s="24"/>
      <c r="AV192" s="298">
        <f t="shared" si="150"/>
        <v>0.5560521211232059</v>
      </c>
      <c r="AW192" s="298"/>
      <c r="AX192" s="24">
        <f t="shared" si="151"/>
        <v>22906.524590163935</v>
      </c>
      <c r="AY192" s="308"/>
      <c r="AZ192" s="10"/>
      <c r="BA192" s="65">
        <f t="shared" si="152"/>
        <v>988439</v>
      </c>
      <c r="BB192" s="66"/>
      <c r="BC192" s="66">
        <v>96223461</v>
      </c>
      <c r="BD192" s="66"/>
      <c r="BE192" s="66">
        <f t="shared" si="153"/>
        <v>51345</v>
      </c>
      <c r="BF192" s="66"/>
      <c r="BG192" s="144">
        <f t="shared" si="154"/>
        <v>5.1945542415869871E-2</v>
      </c>
      <c r="BH192" s="66"/>
      <c r="BI192" s="170"/>
      <c r="BJ192" s="66"/>
      <c r="BK192" s="66">
        <f t="shared" si="155"/>
        <v>5377755</v>
      </c>
      <c r="BL192" s="66"/>
      <c r="BM192" s="144">
        <f t="shared" si="156"/>
        <v>5.270823977663542E-2</v>
      </c>
      <c r="BN192" s="65">
        <f t="shared" si="157"/>
        <v>525811.26229508198</v>
      </c>
      <c r="BO192" s="66"/>
      <c r="BP192" s="66">
        <f t="shared" si="158"/>
        <v>6631693</v>
      </c>
      <c r="BQ192" s="66"/>
      <c r="BR192" s="435">
        <f t="shared" si="159"/>
        <v>6.8919709716115912E-2</v>
      </c>
      <c r="BS192" s="66"/>
      <c r="BT192" s="75"/>
      <c r="BU192" s="170"/>
      <c r="BV192" s="1"/>
      <c r="BW192" s="61">
        <f t="shared" si="164"/>
        <v>183</v>
      </c>
    </row>
    <row r="193" spans="2:75" x14ac:dyDescent="0.3">
      <c r="B193" s="158">
        <f t="shared" si="163"/>
        <v>44093</v>
      </c>
      <c r="C193" s="61"/>
      <c r="D193" s="17">
        <v>43613</v>
      </c>
      <c r="E193" s="16"/>
      <c r="F193" s="16"/>
      <c r="G193" s="16"/>
      <c r="H193" s="16">
        <f t="shared" si="139"/>
        <v>7582284</v>
      </c>
      <c r="I193" s="16"/>
      <c r="J193" s="436">
        <f t="shared" si="140"/>
        <v>5.7852372122354188E-3</v>
      </c>
      <c r="K193" s="16"/>
      <c r="L193" s="16"/>
      <c r="M193" s="16"/>
      <c r="N193" s="16">
        <f t="shared" si="141"/>
        <v>287783</v>
      </c>
      <c r="O193" s="16">
        <f t="shared" si="142"/>
        <v>41208.065217391304</v>
      </c>
      <c r="P193" s="41"/>
      <c r="Q193" s="17">
        <f t="shared" si="161"/>
        <v>287783</v>
      </c>
      <c r="R193" s="16"/>
      <c r="S193" s="60">
        <f t="shared" si="162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3"/>
        <v>206620</v>
      </c>
      <c r="AB193" s="33"/>
      <c r="AC193" s="46">
        <f t="shared" si="144"/>
        <v>2.7250364138299225E-2</v>
      </c>
      <c r="AD193" s="33"/>
      <c r="AE193" s="33">
        <f t="shared" si="145"/>
        <v>1122.9347826086957</v>
      </c>
      <c r="AF193" s="50"/>
      <c r="AG193" s="33">
        <f t="shared" si="146"/>
        <v>5715</v>
      </c>
      <c r="AH193" s="33">
        <f t="shared" si="160"/>
        <v>816400574.34662843</v>
      </c>
      <c r="AI193" s="213">
        <f t="shared" si="147"/>
        <v>7.6271186440677971E-2</v>
      </c>
      <c r="AJ193" s="50"/>
      <c r="AK193" s="10"/>
      <c r="AL193" s="23">
        <f t="shared" si="148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9"/>
        <v>7.5858311302719013E-3</v>
      </c>
      <c r="AS193" s="25"/>
      <c r="AT193" s="25"/>
      <c r="AU193" s="24"/>
      <c r="AV193" s="298">
        <f t="shared" si="150"/>
        <v>0.55704758618906913</v>
      </c>
      <c r="AW193" s="298"/>
      <c r="AX193" s="24">
        <f t="shared" si="151"/>
        <v>22954.853260869564</v>
      </c>
      <c r="AY193" s="308"/>
      <c r="AZ193" s="10"/>
      <c r="BA193" s="65">
        <f t="shared" si="152"/>
        <v>1086851</v>
      </c>
      <c r="BB193" s="66"/>
      <c r="BC193" s="66">
        <v>97310312</v>
      </c>
      <c r="BD193" s="66"/>
      <c r="BE193" s="66">
        <f t="shared" si="153"/>
        <v>43613</v>
      </c>
      <c r="BF193" s="66"/>
      <c r="BG193" s="144">
        <f t="shared" si="154"/>
        <v>4.0127855612222832E-2</v>
      </c>
      <c r="BH193" s="66"/>
      <c r="BI193" s="170"/>
      <c r="BJ193" s="66"/>
      <c r="BK193" s="66">
        <f t="shared" si="155"/>
        <v>5606809</v>
      </c>
      <c r="BL193" s="66"/>
      <c r="BM193" s="144">
        <f t="shared" si="156"/>
        <v>5.1327412793979607E-2</v>
      </c>
      <c r="BN193" s="65">
        <f t="shared" si="157"/>
        <v>528860.39130434778</v>
      </c>
      <c r="BO193" s="66"/>
      <c r="BP193" s="66">
        <f t="shared" si="158"/>
        <v>6675306</v>
      </c>
      <c r="BQ193" s="66"/>
      <c r="BR193" s="435">
        <f t="shared" si="159"/>
        <v>6.8598135827578066E-2</v>
      </c>
      <c r="BS193" s="66"/>
      <c r="BT193" s="75"/>
      <c r="BU193" s="170"/>
      <c r="BV193" s="1"/>
      <c r="BW193" s="61">
        <f t="shared" si="164"/>
        <v>184</v>
      </c>
    </row>
    <row r="194" spans="2:75" x14ac:dyDescent="0.3">
      <c r="B194" s="347">
        <f t="shared" si="163"/>
        <v>44094</v>
      </c>
      <c r="C194" s="61"/>
      <c r="D194" s="17">
        <v>33386</v>
      </c>
      <c r="E194" s="16"/>
      <c r="F194" s="16"/>
      <c r="G194" s="16"/>
      <c r="H194" s="16">
        <f t="shared" si="139"/>
        <v>7615670</v>
      </c>
      <c r="I194" s="16"/>
      <c r="J194" s="436">
        <f t="shared" si="140"/>
        <v>4.4031587315906395E-3</v>
      </c>
      <c r="K194" s="16"/>
      <c r="L194" s="16"/>
      <c r="M194" s="16"/>
      <c r="N194" s="16">
        <f t="shared" si="141"/>
        <v>289312</v>
      </c>
      <c r="O194" s="16">
        <f t="shared" si="142"/>
        <v>41165.783783783787</v>
      </c>
      <c r="P194" s="41"/>
      <c r="Q194" s="17">
        <f t="shared" si="161"/>
        <v>289312</v>
      </c>
      <c r="R194" s="16"/>
      <c r="S194" s="60">
        <f t="shared" si="162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3"/>
        <v>206914</v>
      </c>
      <c r="AB194" s="33"/>
      <c r="AC194" s="46">
        <f t="shared" si="144"/>
        <v>2.7169507082108336E-2</v>
      </c>
      <c r="AD194" s="33"/>
      <c r="AE194" s="33">
        <f t="shared" si="145"/>
        <v>1118.454054054054</v>
      </c>
      <c r="AF194" s="50"/>
      <c r="AG194" s="33">
        <f t="shared" si="146"/>
        <v>5617</v>
      </c>
      <c r="AH194" s="33">
        <f t="shared" si="160"/>
        <v>816350093.34662843</v>
      </c>
      <c r="AI194" s="213">
        <f t="shared" si="147"/>
        <v>6.5440060698027311E-2</v>
      </c>
      <c r="AJ194" s="50"/>
      <c r="AK194" s="10"/>
      <c r="AL194" s="23">
        <f t="shared" si="148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9"/>
        <v>6.2615819852437195E-3</v>
      </c>
      <c r="AS194" s="25"/>
      <c r="AT194" s="25"/>
      <c r="AU194" s="24"/>
      <c r="AV194" s="298">
        <f t="shared" si="150"/>
        <v>0.55807827807664989</v>
      </c>
      <c r="AW194" s="298"/>
      <c r="AX194" s="24">
        <f t="shared" si="151"/>
        <v>22973.72972972973</v>
      </c>
      <c r="AY194" s="308"/>
      <c r="AZ194" s="348"/>
      <c r="BA194" s="65">
        <f t="shared" si="152"/>
        <v>856297</v>
      </c>
      <c r="BB194" s="66"/>
      <c r="BC194" s="66">
        <v>98166609</v>
      </c>
      <c r="BD194" s="66"/>
      <c r="BE194" s="66">
        <f t="shared" si="153"/>
        <v>33386</v>
      </c>
      <c r="BF194" s="66"/>
      <c r="BG194" s="144">
        <f t="shared" si="154"/>
        <v>3.8988808789473743E-2</v>
      </c>
      <c r="BH194" s="66"/>
      <c r="BI194" s="170"/>
      <c r="BJ194" s="66"/>
      <c r="BK194" s="66">
        <f t="shared" si="155"/>
        <v>5763109</v>
      </c>
      <c r="BL194" s="66"/>
      <c r="BM194" s="144">
        <f t="shared" si="156"/>
        <v>5.0200681611262253E-2</v>
      </c>
      <c r="BN194" s="65">
        <f t="shared" si="157"/>
        <v>530630.31891891896</v>
      </c>
      <c r="BO194" s="66"/>
      <c r="BP194" s="66">
        <f t="shared" si="158"/>
        <v>6708692</v>
      </c>
      <c r="BQ194" s="66"/>
      <c r="BR194" s="435">
        <f t="shared" si="159"/>
        <v>6.8339856783684969E-2</v>
      </c>
      <c r="BS194" s="66"/>
      <c r="BT194" s="75"/>
      <c r="BU194" s="170"/>
      <c r="BV194" s="1"/>
      <c r="BW194" s="61">
        <f t="shared" si="164"/>
        <v>185</v>
      </c>
    </row>
    <row r="195" spans="2:75" x14ac:dyDescent="0.3">
      <c r="B195" s="158">
        <f t="shared" si="163"/>
        <v>44095</v>
      </c>
      <c r="C195" s="61"/>
      <c r="D195" s="17">
        <v>36804</v>
      </c>
      <c r="E195" s="16"/>
      <c r="F195" s="16"/>
      <c r="G195" s="16"/>
      <c r="H195" s="16">
        <f t="shared" si="139"/>
        <v>7652474</v>
      </c>
      <c r="I195" s="16"/>
      <c r="J195" s="436">
        <f t="shared" si="140"/>
        <v>4.8326673818587206E-3</v>
      </c>
      <c r="K195" s="16"/>
      <c r="L195" s="16"/>
      <c r="M195" s="16"/>
      <c r="N195" s="16">
        <f t="shared" si="141"/>
        <v>288044</v>
      </c>
      <c r="O195" s="16">
        <f t="shared" si="142"/>
        <v>41142.333333333336</v>
      </c>
      <c r="P195" s="41"/>
      <c r="Q195" s="17">
        <f t="shared" si="161"/>
        <v>288044</v>
      </c>
      <c r="R195" s="16"/>
      <c r="S195" s="60">
        <f t="shared" si="162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3"/>
        <v>207298</v>
      </c>
      <c r="AB195" s="33"/>
      <c r="AC195" s="46">
        <f t="shared" si="144"/>
        <v>2.7089017225017688E-2</v>
      </c>
      <c r="AD195" s="33"/>
      <c r="AE195" s="33">
        <f t="shared" si="145"/>
        <v>1114.505376344086</v>
      </c>
      <c r="AF195" s="50"/>
      <c r="AG195" s="33">
        <f t="shared" si="146"/>
        <v>5521</v>
      </c>
      <c r="AH195" s="33">
        <f t="shared" si="160"/>
        <v>816306264.34662843</v>
      </c>
      <c r="AI195" s="213">
        <f t="shared" si="147"/>
        <v>1.0062202707647273E-2</v>
      </c>
      <c r="AJ195" s="50"/>
      <c r="AK195" s="10"/>
      <c r="AL195" s="23">
        <f t="shared" si="148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9"/>
        <v>1.1619617236138104E-2</v>
      </c>
      <c r="AS195" s="25"/>
      <c r="AT195" s="25"/>
      <c r="AU195" s="24"/>
      <c r="AV195" s="298">
        <f t="shared" si="150"/>
        <v>0.56184771094942632</v>
      </c>
      <c r="AW195" s="298"/>
      <c r="AX195" s="24">
        <f t="shared" si="151"/>
        <v>23115.725806451614</v>
      </c>
      <c r="AY195" s="308"/>
      <c r="AZ195" s="10"/>
      <c r="BA195" s="65">
        <f t="shared" si="152"/>
        <v>743166</v>
      </c>
      <c r="BB195" s="66"/>
      <c r="BC195" s="66">
        <v>98909775</v>
      </c>
      <c r="BD195" s="66"/>
      <c r="BE195" s="66">
        <f t="shared" si="153"/>
        <v>36804</v>
      </c>
      <c r="BF195" s="66"/>
      <c r="BG195" s="144">
        <f t="shared" si="154"/>
        <v>4.9523255907832166E-2</v>
      </c>
      <c r="BH195" s="66"/>
      <c r="BI195" s="170"/>
      <c r="BJ195" s="66"/>
      <c r="BK195" s="66">
        <f t="shared" si="155"/>
        <v>6019453</v>
      </c>
      <c r="BL195" s="66"/>
      <c r="BM195" s="144">
        <f t="shared" si="156"/>
        <v>4.7852188562648466E-2</v>
      </c>
      <c r="BN195" s="65">
        <f t="shared" si="157"/>
        <v>531772.98387096776</v>
      </c>
      <c r="BO195" s="66"/>
      <c r="BP195" s="66">
        <f t="shared" si="158"/>
        <v>6745496</v>
      </c>
      <c r="BQ195" s="66"/>
      <c r="BR195" s="435">
        <f t="shared" si="159"/>
        <v>6.8198476844174405E-2</v>
      </c>
      <c r="BS195" s="66"/>
      <c r="BT195" s="75"/>
      <c r="BU195" s="170"/>
      <c r="BV195" s="1"/>
      <c r="BW195" s="61">
        <f t="shared" si="164"/>
        <v>186</v>
      </c>
    </row>
    <row r="196" spans="2:75" x14ac:dyDescent="0.3">
      <c r="B196" s="158">
        <f t="shared" si="163"/>
        <v>44096</v>
      </c>
      <c r="C196" s="61"/>
      <c r="D196" s="17">
        <v>35696</v>
      </c>
      <c r="E196" s="16"/>
      <c r="F196" s="16"/>
      <c r="G196" s="16"/>
      <c r="H196" s="16">
        <f t="shared" si="139"/>
        <v>7688170</v>
      </c>
      <c r="I196" s="16"/>
      <c r="J196" s="436">
        <f t="shared" si="140"/>
        <v>4.6646352539061221E-3</v>
      </c>
      <c r="K196" s="16"/>
      <c r="L196" s="16"/>
      <c r="M196" s="16"/>
      <c r="N196" s="16">
        <f t="shared" si="141"/>
        <v>287293</v>
      </c>
      <c r="O196" s="16">
        <f t="shared" si="142"/>
        <v>41113.20855614973</v>
      </c>
      <c r="P196" s="41"/>
      <c r="Q196" s="17">
        <f t="shared" si="161"/>
        <v>287293</v>
      </c>
      <c r="R196" s="16"/>
      <c r="S196" s="60">
        <f t="shared" si="162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3"/>
        <v>208277</v>
      </c>
      <c r="AB196" s="33"/>
      <c r="AC196" s="46">
        <f t="shared" si="144"/>
        <v>2.7090582024070747E-2</v>
      </c>
      <c r="AD196" s="33"/>
      <c r="AE196" s="33">
        <f t="shared" si="145"/>
        <v>1113.7807486631016</v>
      </c>
      <c r="AF196" s="50"/>
      <c r="AG196" s="33">
        <f t="shared" ref="AG196:AG204" si="165">SUM(W190:W196)</f>
        <v>5303</v>
      </c>
      <c r="AH196" s="33">
        <f t="shared" si="160"/>
        <v>816273546.34662843</v>
      </c>
      <c r="AI196" s="213">
        <f t="shared" si="147"/>
        <v>-0.14010053510621048</v>
      </c>
      <c r="AJ196" s="50"/>
      <c r="AK196" s="10"/>
      <c r="AL196" s="23">
        <f t="shared" si="148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9"/>
        <v>1.0834917810688389E-2</v>
      </c>
      <c r="AS196" s="25"/>
      <c r="AT196" s="25"/>
      <c r="AU196" s="24"/>
      <c r="AV196" s="298">
        <f t="shared" si="150"/>
        <v>0.56529837399537208</v>
      </c>
      <c r="AW196" s="298"/>
      <c r="AX196" s="24">
        <f t="shared" si="151"/>
        <v>23241.229946524065</v>
      </c>
      <c r="AY196" s="308"/>
      <c r="AZ196" s="10"/>
      <c r="BA196" s="65">
        <f t="shared" si="152"/>
        <v>772198</v>
      </c>
      <c r="BB196" s="66"/>
      <c r="BC196" s="66">
        <v>99681973</v>
      </c>
      <c r="BD196" s="66"/>
      <c r="BE196" s="66">
        <f t="shared" si="153"/>
        <v>35696</v>
      </c>
      <c r="BF196" s="66"/>
      <c r="BG196" s="144">
        <f t="shared" si="154"/>
        <v>4.6226485953084574E-2</v>
      </c>
      <c r="BH196" s="66"/>
      <c r="BI196" s="170"/>
      <c r="BJ196" s="66"/>
      <c r="BK196" s="66">
        <f t="shared" si="155"/>
        <v>6050015</v>
      </c>
      <c r="BL196" s="66"/>
      <c r="BM196" s="144">
        <f t="shared" si="156"/>
        <v>4.7486328546292859E-2</v>
      </c>
      <c r="BN196" s="65">
        <f t="shared" si="157"/>
        <v>533058.67914438504</v>
      </c>
      <c r="BO196" s="66"/>
      <c r="BP196" s="66">
        <f t="shared" si="158"/>
        <v>6781192</v>
      </c>
      <c r="BQ196" s="66"/>
      <c r="BR196" s="435">
        <f t="shared" si="159"/>
        <v>6.8028268260701463E-2</v>
      </c>
      <c r="BS196" s="66"/>
      <c r="BT196" s="75"/>
      <c r="BU196" s="170"/>
      <c r="BV196" s="1"/>
      <c r="BW196" s="61">
        <f t="shared" si="164"/>
        <v>187</v>
      </c>
    </row>
    <row r="197" spans="2:75" x14ac:dyDescent="0.3">
      <c r="B197" s="158">
        <f t="shared" si="163"/>
        <v>44097</v>
      </c>
      <c r="C197" s="61"/>
      <c r="D197" s="17">
        <v>41616</v>
      </c>
      <c r="E197" s="16"/>
      <c r="F197" s="16"/>
      <c r="G197" s="16"/>
      <c r="H197" s="16">
        <f t="shared" si="139"/>
        <v>7729786</v>
      </c>
      <c r="I197" s="16"/>
      <c r="J197" s="436">
        <f t="shared" si="140"/>
        <v>5.4129916482075708E-3</v>
      </c>
      <c r="K197" s="16"/>
      <c r="L197" s="16"/>
      <c r="M197" s="16"/>
      <c r="N197" s="16">
        <f t="shared" si="141"/>
        <v>288755</v>
      </c>
      <c r="O197" s="16">
        <f t="shared" si="142"/>
        <v>41115.882978723406</v>
      </c>
      <c r="P197" s="41"/>
      <c r="Q197" s="17">
        <f t="shared" si="161"/>
        <v>288755</v>
      </c>
      <c r="R197" s="16"/>
      <c r="S197" s="60">
        <f t="shared" si="162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3"/>
        <v>209392</v>
      </c>
      <c r="AB197" s="33"/>
      <c r="AC197" s="46">
        <f t="shared" si="144"/>
        <v>2.7088977624995052E-2</v>
      </c>
      <c r="AD197" s="33"/>
      <c r="AE197" s="33">
        <f t="shared" si="145"/>
        <v>1113.7872340425531</v>
      </c>
      <c r="AF197" s="50"/>
      <c r="AG197" s="33">
        <f t="shared" si="165"/>
        <v>5267</v>
      </c>
      <c r="AH197" s="33">
        <f t="shared" si="160"/>
        <v>816232062.34662843</v>
      </c>
      <c r="AI197" s="213">
        <f t="shared" si="147"/>
        <v>-0.13797054009819967</v>
      </c>
      <c r="AJ197" s="50"/>
      <c r="AK197" s="10"/>
      <c r="AL197" s="23">
        <f t="shared" si="148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9"/>
        <v>1.2148104856987052E-2</v>
      </c>
      <c r="AS197" s="25"/>
      <c r="AT197" s="25"/>
      <c r="AU197" s="24"/>
      <c r="AV197" s="298">
        <f t="shared" si="150"/>
        <v>0.56908522435161857</v>
      </c>
      <c r="AW197" s="298"/>
      <c r="AX197" s="24">
        <f t="shared" si="151"/>
        <v>23398.441489361703</v>
      </c>
      <c r="AY197" s="308"/>
      <c r="AZ197" s="10"/>
      <c r="BA197" s="65">
        <f t="shared" si="152"/>
        <v>900117</v>
      </c>
      <c r="BB197" s="66"/>
      <c r="BC197" s="66">
        <v>100582090</v>
      </c>
      <c r="BD197" s="66"/>
      <c r="BE197" s="66">
        <f t="shared" si="153"/>
        <v>41616</v>
      </c>
      <c r="BF197" s="66"/>
      <c r="BG197" s="144">
        <f t="shared" si="154"/>
        <v>4.6233989581354426E-2</v>
      </c>
      <c r="BH197" s="66"/>
      <c r="BI197" s="170"/>
      <c r="BJ197" s="66"/>
      <c r="BK197" s="66">
        <f t="shared" si="155"/>
        <v>6213023</v>
      </c>
      <c r="BL197" s="66"/>
      <c r="BM197" s="144">
        <f t="shared" si="156"/>
        <v>4.647576550094857E-2</v>
      </c>
      <c r="BN197" s="65">
        <f t="shared" si="157"/>
        <v>535011.11702127662</v>
      </c>
      <c r="BO197" s="66"/>
      <c r="BP197" s="66">
        <f t="shared" si="158"/>
        <v>6822808</v>
      </c>
      <c r="BQ197" s="66"/>
      <c r="BR197" s="435">
        <f t="shared" si="159"/>
        <v>6.7833229554088603E-2</v>
      </c>
      <c r="BS197" s="66"/>
      <c r="BT197" s="75"/>
      <c r="BU197" s="170"/>
      <c r="BV197" s="1"/>
      <c r="BW197" s="61">
        <f t="shared" si="164"/>
        <v>188</v>
      </c>
    </row>
    <row r="198" spans="2:75" x14ac:dyDescent="0.3">
      <c r="B198" s="158">
        <f t="shared" si="163"/>
        <v>44098</v>
      </c>
      <c r="C198" s="61"/>
      <c r="D198" s="17">
        <v>45355</v>
      </c>
      <c r="E198" s="16"/>
      <c r="F198" s="16"/>
      <c r="G198" s="16"/>
      <c r="H198" s="16">
        <f t="shared" si="139"/>
        <v>7775141</v>
      </c>
      <c r="I198" s="16"/>
      <c r="J198" s="436">
        <f t="shared" si="140"/>
        <v>5.8675621808934944E-3</v>
      </c>
      <c r="K198" s="16"/>
      <c r="L198" s="16"/>
      <c r="M198" s="16"/>
      <c r="N198" s="16">
        <f t="shared" si="141"/>
        <v>287815</v>
      </c>
      <c r="O198" s="16">
        <f t="shared" si="142"/>
        <v>41138.312169312172</v>
      </c>
      <c r="P198" s="41"/>
      <c r="Q198" s="17">
        <f t="shared" si="161"/>
        <v>287815</v>
      </c>
      <c r="R198" s="16"/>
      <c r="S198" s="60">
        <f t="shared" si="162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3"/>
        <v>210334</v>
      </c>
      <c r="AB198" s="33"/>
      <c r="AC198" s="46">
        <f t="shared" si="144"/>
        <v>2.7052113910217192E-2</v>
      </c>
      <c r="AD198" s="33"/>
      <c r="AE198" s="33">
        <f t="shared" si="145"/>
        <v>1112.8783068783068</v>
      </c>
      <c r="AF198" s="50"/>
      <c r="AG198" s="33">
        <f t="shared" si="165"/>
        <v>5330</v>
      </c>
      <c r="AH198" s="33">
        <f t="shared" si="160"/>
        <v>816191964.34662843</v>
      </c>
      <c r="AI198" s="213">
        <f t="shared" si="147"/>
        <v>-9.6610169491525427E-2</v>
      </c>
      <c r="AJ198" s="50"/>
      <c r="AK198" s="10"/>
      <c r="AL198" s="23">
        <f t="shared" si="148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9"/>
        <v>8.7846821949179657E-3</v>
      </c>
      <c r="AS198" s="25"/>
      <c r="AT198" s="25"/>
      <c r="AU198" s="24"/>
      <c r="AV198" s="298">
        <f t="shared" si="150"/>
        <v>0.57073563038921094</v>
      </c>
      <c r="AW198" s="298"/>
      <c r="AX198" s="24">
        <f t="shared" si="151"/>
        <v>23479.100529100528</v>
      </c>
      <c r="AY198" s="308"/>
      <c r="AZ198" s="10"/>
      <c r="BA198" s="65">
        <f t="shared" si="152"/>
        <v>990101</v>
      </c>
      <c r="BB198" s="66"/>
      <c r="BC198" s="66">
        <v>101572191</v>
      </c>
      <c r="BD198" s="66"/>
      <c r="BE198" s="66">
        <f t="shared" si="153"/>
        <v>45355</v>
      </c>
      <c r="BF198" s="66"/>
      <c r="BG198" s="144">
        <f t="shared" si="154"/>
        <v>4.5808457924999574E-2</v>
      </c>
      <c r="BH198" s="66"/>
      <c r="BI198" s="170"/>
      <c r="BJ198" s="66"/>
      <c r="BK198" s="66">
        <f t="shared" si="155"/>
        <v>6337169</v>
      </c>
      <c r="BL198" s="66"/>
      <c r="BM198" s="144">
        <f t="shared" si="156"/>
        <v>4.5416967734330585E-2</v>
      </c>
      <c r="BN198" s="65">
        <f t="shared" si="157"/>
        <v>537419</v>
      </c>
      <c r="BO198" s="66"/>
      <c r="BP198" s="66">
        <f t="shared" si="158"/>
        <v>6868163</v>
      </c>
      <c r="BQ198" s="66"/>
      <c r="BR198" s="435">
        <f t="shared" si="159"/>
        <v>6.7618537440036125E-2</v>
      </c>
      <c r="BS198" s="66"/>
      <c r="BT198" s="75"/>
      <c r="BU198" s="170"/>
      <c r="BV198" s="1"/>
      <c r="BW198" s="61">
        <f t="shared" si="164"/>
        <v>189</v>
      </c>
    </row>
    <row r="199" spans="2:75" x14ac:dyDescent="0.3">
      <c r="B199" s="158">
        <f t="shared" si="163"/>
        <v>44099</v>
      </c>
      <c r="C199" s="61"/>
      <c r="D199" s="17">
        <v>53629</v>
      </c>
      <c r="E199" s="16"/>
      <c r="F199" s="16"/>
      <c r="G199" s="16"/>
      <c r="H199" s="16">
        <f t="shared" si="139"/>
        <v>7828770</v>
      </c>
      <c r="I199" s="16"/>
      <c r="J199" s="436">
        <f t="shared" si="140"/>
        <v>6.8974954923647046E-3</v>
      </c>
      <c r="K199" s="16"/>
      <c r="L199" s="16"/>
      <c r="M199" s="16"/>
      <c r="N199" s="16">
        <f t="shared" si="141"/>
        <v>290099</v>
      </c>
      <c r="O199" s="16">
        <f t="shared" si="142"/>
        <v>41204.052631578947</v>
      </c>
      <c r="P199" s="41"/>
      <c r="Q199" s="17">
        <f t="shared" si="161"/>
        <v>290099</v>
      </c>
      <c r="R199" s="16"/>
      <c r="S199" s="60">
        <f t="shared" si="162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3"/>
        <v>211229</v>
      </c>
      <c r="AB199" s="33"/>
      <c r="AC199" s="46">
        <f t="shared" si="144"/>
        <v>2.6981122194163324E-2</v>
      </c>
      <c r="AD199" s="33"/>
      <c r="AE199" s="33">
        <f t="shared" si="145"/>
        <v>1111.7315789473685</v>
      </c>
      <c r="AF199" s="50"/>
      <c r="AG199" s="33">
        <f t="shared" si="165"/>
        <v>5267</v>
      </c>
      <c r="AH199" s="33">
        <f t="shared" si="160"/>
        <v>816147327.34662843</v>
      </c>
      <c r="AI199" s="213">
        <f t="shared" si="147"/>
        <v>-8.6224843858431641E-2</v>
      </c>
      <c r="AJ199" s="50"/>
      <c r="AK199" s="10"/>
      <c r="AL199" s="23">
        <f t="shared" si="148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9"/>
        <v>9.7281157395409622E-3</v>
      </c>
      <c r="AS199" s="25"/>
      <c r="AT199" s="25"/>
      <c r="AU199" s="24"/>
      <c r="AV199" s="298">
        <f t="shared" si="150"/>
        <v>0.57234009940258812</v>
      </c>
      <c r="AW199" s="298"/>
      <c r="AX199" s="24">
        <f t="shared" si="151"/>
        <v>23582.731578947369</v>
      </c>
      <c r="AY199" s="308"/>
      <c r="AZ199" s="10"/>
      <c r="BA199" s="65">
        <f t="shared" si="152"/>
        <v>975164</v>
      </c>
      <c r="BB199" s="66"/>
      <c r="BC199" s="66">
        <v>102547355</v>
      </c>
      <c r="BD199" s="66"/>
      <c r="BE199" s="66">
        <f t="shared" si="153"/>
        <v>53629</v>
      </c>
      <c r="BF199" s="66"/>
      <c r="BG199" s="144">
        <f t="shared" si="154"/>
        <v>5.4994852147946395E-2</v>
      </c>
      <c r="BH199" s="66"/>
      <c r="BI199" s="170"/>
      <c r="BJ199" s="66"/>
      <c r="BK199" s="66">
        <f t="shared" si="155"/>
        <v>6323894</v>
      </c>
      <c r="BL199" s="66"/>
      <c r="BM199" s="144">
        <f t="shared" si="156"/>
        <v>4.5873476057631576E-2</v>
      </c>
      <c r="BN199" s="65">
        <f t="shared" si="157"/>
        <v>539722.92105263157</v>
      </c>
      <c r="BO199" s="66"/>
      <c r="BP199" s="66">
        <f t="shared" si="158"/>
        <v>6921792</v>
      </c>
      <c r="BQ199" s="66"/>
      <c r="BR199" s="435">
        <f t="shared" si="159"/>
        <v>6.7498493744670457E-2</v>
      </c>
      <c r="BS199" s="66"/>
      <c r="BT199" s="75"/>
      <c r="BU199" s="170"/>
      <c r="BV199" s="1"/>
      <c r="BW199" s="61">
        <f t="shared" si="164"/>
        <v>190</v>
      </c>
    </row>
    <row r="200" spans="2:75" x14ac:dyDescent="0.3">
      <c r="B200" s="158">
        <f t="shared" si="163"/>
        <v>44100</v>
      </c>
      <c r="C200" s="61"/>
      <c r="D200" s="17">
        <v>43206</v>
      </c>
      <c r="E200" s="16"/>
      <c r="F200" s="16"/>
      <c r="G200" s="16"/>
      <c r="H200" s="16">
        <f t="shared" si="139"/>
        <v>7871976</v>
      </c>
      <c r="I200" s="16"/>
      <c r="J200" s="436">
        <f t="shared" si="140"/>
        <v>5.5188746124870194E-3</v>
      </c>
      <c r="K200" s="16"/>
      <c r="L200" s="16"/>
      <c r="M200" s="16"/>
      <c r="N200" s="16">
        <f t="shared" si="141"/>
        <v>289692</v>
      </c>
      <c r="O200" s="16">
        <f t="shared" si="142"/>
        <v>41214.534031413612</v>
      </c>
      <c r="P200" s="41"/>
      <c r="Q200" s="17">
        <f t="shared" si="161"/>
        <v>289692</v>
      </c>
      <c r="R200" s="16"/>
      <c r="S200" s="60">
        <f t="shared" si="162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3"/>
        <v>211966</v>
      </c>
      <c r="AB200" s="33"/>
      <c r="AC200" s="46">
        <f t="shared" si="144"/>
        <v>2.6926657296719402E-2</v>
      </c>
      <c r="AD200" s="33"/>
      <c r="AE200" s="33">
        <f t="shared" si="145"/>
        <v>1109.7696335078533</v>
      </c>
      <c r="AF200" s="50"/>
      <c r="AG200" s="33">
        <f t="shared" si="165"/>
        <v>5346</v>
      </c>
      <c r="AH200" s="33">
        <f t="shared" si="160"/>
        <v>816101321.34662843</v>
      </c>
      <c r="AI200" s="213">
        <f t="shared" si="147"/>
        <v>-6.4566929133858267E-2</v>
      </c>
      <c r="AJ200" s="50"/>
      <c r="AK200" s="10"/>
      <c r="AL200" s="23">
        <f t="shared" si="148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9"/>
        <v>9.6834905290869612E-3</v>
      </c>
      <c r="AS200" s="25"/>
      <c r="AT200" s="25"/>
      <c r="AU200" s="24"/>
      <c r="AV200" s="298">
        <f t="shared" si="150"/>
        <v>0.57471059362985866</v>
      </c>
      <c r="AW200" s="298"/>
      <c r="AX200" s="24">
        <f t="shared" si="151"/>
        <v>23686.429319371728</v>
      </c>
      <c r="AY200" s="308"/>
      <c r="AZ200" s="10"/>
      <c r="BA200" s="65">
        <f t="shared" si="152"/>
        <v>1028168</v>
      </c>
      <c r="BB200" s="66"/>
      <c r="BC200" s="66">
        <v>103575523</v>
      </c>
      <c r="BD200" s="66"/>
      <c r="BE200" s="66">
        <f t="shared" si="153"/>
        <v>43206</v>
      </c>
      <c r="BF200" s="66"/>
      <c r="BG200" s="144">
        <f t="shared" si="154"/>
        <v>4.2022315419270005E-2</v>
      </c>
      <c r="BH200" s="66"/>
      <c r="BI200" s="170"/>
      <c r="BJ200" s="66"/>
      <c r="BK200" s="66">
        <f t="shared" si="155"/>
        <v>6265211</v>
      </c>
      <c r="BL200" s="66"/>
      <c r="BM200" s="144">
        <f t="shared" si="156"/>
        <v>4.6238187349157113E-2</v>
      </c>
      <c r="BN200" s="65">
        <f t="shared" si="157"/>
        <v>542280.22513089003</v>
      </c>
      <c r="BO200" s="66"/>
      <c r="BP200" s="66">
        <f t="shared" si="158"/>
        <v>6964998</v>
      </c>
      <c r="BQ200" s="66"/>
      <c r="BR200" s="435">
        <f t="shared" si="159"/>
        <v>6.7245598170911483E-2</v>
      </c>
      <c r="BS200" s="66"/>
      <c r="BT200" s="75"/>
      <c r="BU200" s="170"/>
      <c r="BV200" s="1"/>
      <c r="BW200" s="61">
        <f t="shared" si="164"/>
        <v>191</v>
      </c>
    </row>
    <row r="201" spans="2:75" x14ac:dyDescent="0.3">
      <c r="B201" s="347">
        <f t="shared" si="163"/>
        <v>44101</v>
      </c>
      <c r="C201" s="61"/>
      <c r="D201" s="17">
        <v>33782</v>
      </c>
      <c r="E201" s="16"/>
      <c r="F201" s="16"/>
      <c r="G201" s="16"/>
      <c r="H201" s="16">
        <f t="shared" si="139"/>
        <v>7905758</v>
      </c>
      <c r="I201" s="16"/>
      <c r="J201" s="436">
        <f t="shared" si="140"/>
        <v>4.2914256852409106E-3</v>
      </c>
      <c r="K201" s="16"/>
      <c r="L201" s="16"/>
      <c r="M201" s="16"/>
      <c r="N201" s="16">
        <f t="shared" si="141"/>
        <v>290088</v>
      </c>
      <c r="O201" s="16">
        <f t="shared" si="142"/>
        <v>41175.822916666664</v>
      </c>
      <c r="P201" s="41"/>
      <c r="Q201" s="17">
        <f t="shared" si="161"/>
        <v>290088</v>
      </c>
      <c r="R201" s="16"/>
      <c r="S201" s="60">
        <f t="shared" si="162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3"/>
        <v>212242</v>
      </c>
      <c r="AB201" s="33"/>
      <c r="AC201" s="46">
        <f t="shared" si="144"/>
        <v>2.6846508582731726E-2</v>
      </c>
      <c r="AD201" s="33"/>
      <c r="AE201" s="33">
        <f t="shared" si="145"/>
        <v>1105.4270833333333</v>
      </c>
      <c r="AF201" s="50"/>
      <c r="AG201" s="33">
        <f t="shared" si="165"/>
        <v>5328</v>
      </c>
      <c r="AH201" s="33">
        <f t="shared" si="160"/>
        <v>816051720.34662843</v>
      </c>
      <c r="AI201" s="213">
        <f t="shared" si="147"/>
        <v>-5.145095246572904E-2</v>
      </c>
      <c r="AJ201" s="50"/>
      <c r="AK201" s="10"/>
      <c r="AL201" s="23">
        <f t="shared" si="148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9"/>
        <v>8.0342909585712809E-3</v>
      </c>
      <c r="AS201" s="25"/>
      <c r="AT201" s="25"/>
      <c r="AU201" s="24"/>
      <c r="AV201" s="298">
        <f t="shared" si="150"/>
        <v>0.57685246626572684</v>
      </c>
      <c r="AW201" s="298"/>
      <c r="AX201" s="24">
        <f t="shared" si="151"/>
        <v>23752.375</v>
      </c>
      <c r="AY201" s="308"/>
      <c r="AZ201" s="348"/>
      <c r="BA201" s="65">
        <f t="shared" si="152"/>
        <v>759639</v>
      </c>
      <c r="BB201" s="66"/>
      <c r="BC201" s="66">
        <v>104335162</v>
      </c>
      <c r="BD201" s="66"/>
      <c r="BE201" s="66">
        <f t="shared" si="153"/>
        <v>33782</v>
      </c>
      <c r="BF201" s="66"/>
      <c r="BG201" s="144">
        <f t="shared" si="154"/>
        <v>4.4471123783797306E-2</v>
      </c>
      <c r="BH201" s="66"/>
      <c r="BI201" s="170"/>
      <c r="BJ201" s="66"/>
      <c r="BK201" s="66">
        <f t="shared" si="155"/>
        <v>6168553</v>
      </c>
      <c r="BL201" s="66"/>
      <c r="BM201" s="144">
        <f t="shared" si="156"/>
        <v>4.7026912146171072E-2</v>
      </c>
      <c r="BN201" s="65">
        <f t="shared" si="157"/>
        <v>543412.30208333337</v>
      </c>
      <c r="BO201" s="66"/>
      <c r="BP201" s="66">
        <f t="shared" si="158"/>
        <v>6998780</v>
      </c>
      <c r="BQ201" s="66"/>
      <c r="BR201" s="435">
        <f t="shared" si="159"/>
        <v>6.7079782748600131E-2</v>
      </c>
      <c r="BS201" s="66"/>
      <c r="BT201" s="75"/>
      <c r="BU201" s="170"/>
      <c r="BV201" s="1"/>
      <c r="BW201" s="61">
        <f t="shared" si="164"/>
        <v>192</v>
      </c>
    </row>
    <row r="202" spans="2:75" x14ac:dyDescent="0.3">
      <c r="B202" s="158">
        <f t="shared" si="163"/>
        <v>44102</v>
      </c>
      <c r="C202" s="61"/>
      <c r="D202" s="17">
        <v>37418</v>
      </c>
      <c r="E202" s="16"/>
      <c r="F202" s="16"/>
      <c r="G202" s="16"/>
      <c r="H202" s="16">
        <f t="shared" si="139"/>
        <v>7943176</v>
      </c>
      <c r="I202" s="16"/>
      <c r="J202" s="436">
        <f t="shared" si="140"/>
        <v>4.7330059938591592E-3</v>
      </c>
      <c r="K202" s="16"/>
      <c r="L202" s="16"/>
      <c r="M202" s="16"/>
      <c r="N202" s="16">
        <f t="shared" si="141"/>
        <v>290702</v>
      </c>
      <c r="O202" s="16">
        <f t="shared" si="142"/>
        <v>41156.35233160622</v>
      </c>
      <c r="P202" s="41"/>
      <c r="Q202" s="17">
        <f t="shared" si="161"/>
        <v>290702</v>
      </c>
      <c r="R202" s="16"/>
      <c r="S202" s="60">
        <f t="shared" si="162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3"/>
        <v>212597</v>
      </c>
      <c r="AB202" s="33"/>
      <c r="AC202" s="46">
        <f t="shared" si="144"/>
        <v>2.6764734912080507E-2</v>
      </c>
      <c r="AD202" s="33"/>
      <c r="AE202" s="33">
        <f t="shared" si="145"/>
        <v>1101.538860103627</v>
      </c>
      <c r="AF202" s="50"/>
      <c r="AG202" s="33">
        <f t="shared" si="165"/>
        <v>5299</v>
      </c>
      <c r="AH202" s="33">
        <f t="shared" si="160"/>
        <v>816009060.34662843</v>
      </c>
      <c r="AI202" s="213">
        <f t="shared" si="147"/>
        <v>-4.0210106864698426E-2</v>
      </c>
      <c r="AJ202" s="50"/>
      <c r="AK202" s="10"/>
      <c r="AL202" s="23">
        <f t="shared" si="148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9"/>
        <v>1.0784009318366409E-2</v>
      </c>
      <c r="AS202" s="25"/>
      <c r="AT202" s="25"/>
      <c r="AU202" s="24"/>
      <c r="AV202" s="298">
        <f t="shared" si="150"/>
        <v>0.58032655955250145</v>
      </c>
      <c r="AW202" s="298"/>
      <c r="AX202" s="24">
        <f t="shared" si="151"/>
        <v>23884.124352331608</v>
      </c>
      <c r="AY202" s="308"/>
      <c r="AZ202" s="10"/>
      <c r="BA202" s="65">
        <f t="shared" si="152"/>
        <v>1066544</v>
      </c>
      <c r="BB202" s="66"/>
      <c r="BC202" s="66">
        <v>105401706</v>
      </c>
      <c r="BD202" s="66"/>
      <c r="BE202" s="66">
        <f t="shared" si="153"/>
        <v>37418</v>
      </c>
      <c r="BF202" s="66"/>
      <c r="BG202" s="144">
        <f t="shared" si="154"/>
        <v>3.5083409592103092E-2</v>
      </c>
      <c r="BH202" s="66"/>
      <c r="BI202" s="170"/>
      <c r="BJ202" s="66"/>
      <c r="BK202" s="66">
        <f t="shared" si="155"/>
        <v>6491931</v>
      </c>
      <c r="BL202" s="66"/>
      <c r="BM202" s="144">
        <f t="shared" si="156"/>
        <v>4.4778972542992214E-2</v>
      </c>
      <c r="BN202" s="65">
        <f t="shared" si="157"/>
        <v>546122.82901554403</v>
      </c>
      <c r="BO202" s="66"/>
      <c r="BP202" s="66">
        <f t="shared" si="158"/>
        <v>7036198</v>
      </c>
      <c r="BQ202" s="66"/>
      <c r="BR202" s="435">
        <f t="shared" si="159"/>
        <v>6.6756016264101076E-2</v>
      </c>
      <c r="BS202" s="66"/>
      <c r="BT202" s="75"/>
      <c r="BU202" s="170"/>
      <c r="BV202" s="1"/>
      <c r="BW202" s="61">
        <f t="shared" si="164"/>
        <v>193</v>
      </c>
    </row>
    <row r="203" spans="2:75" x14ac:dyDescent="0.3">
      <c r="B203" s="158">
        <f t="shared" si="163"/>
        <v>44103</v>
      </c>
      <c r="C203" s="61"/>
      <c r="D203" s="17">
        <v>44227</v>
      </c>
      <c r="E203" s="16"/>
      <c r="F203" s="16"/>
      <c r="G203" s="16"/>
      <c r="H203" s="16">
        <f t="shared" si="139"/>
        <v>7987403</v>
      </c>
      <c r="I203" s="16"/>
      <c r="J203" s="436">
        <f t="shared" si="140"/>
        <v>5.5679239639156936E-3</v>
      </c>
      <c r="K203" s="16"/>
      <c r="L203" s="16"/>
      <c r="M203" s="16"/>
      <c r="N203" s="16">
        <f t="shared" si="141"/>
        <v>299233</v>
      </c>
      <c r="O203" s="16">
        <f t="shared" si="142"/>
        <v>41172.180412371134</v>
      </c>
      <c r="P203" s="41"/>
      <c r="Q203" s="17">
        <f t="shared" si="161"/>
        <v>299233</v>
      </c>
      <c r="R203" s="16"/>
      <c r="S203" s="60">
        <f t="shared" si="162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3"/>
        <v>213574</v>
      </c>
      <c r="AB203" s="33"/>
      <c r="AC203" s="46">
        <f t="shared" si="144"/>
        <v>2.6738853667456118E-2</v>
      </c>
      <c r="AD203" s="33"/>
      <c r="AE203" s="33">
        <f t="shared" si="145"/>
        <v>1100.8969072164948</v>
      </c>
      <c r="AF203" s="50"/>
      <c r="AG203" s="33">
        <f t="shared" si="165"/>
        <v>5297</v>
      </c>
      <c r="AH203" s="33">
        <f t="shared" si="160"/>
        <v>815975079.34662843</v>
      </c>
      <c r="AI203" s="213">
        <f t="shared" si="147"/>
        <v>-1.1314350367716388E-3</v>
      </c>
      <c r="AJ203" s="50"/>
      <c r="AK203" s="10"/>
      <c r="AL203" s="23">
        <f t="shared" si="148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9"/>
        <v>8.4707339147819909E-3</v>
      </c>
      <c r="AS203" s="25"/>
      <c r="AT203" s="25"/>
      <c r="AU203" s="24"/>
      <c r="AV203" s="298">
        <f t="shared" si="150"/>
        <v>0.58200180959944048</v>
      </c>
      <c r="AW203" s="298"/>
      <c r="AX203" s="24">
        <f t="shared" si="151"/>
        <v>23962.283505154639</v>
      </c>
      <c r="AY203" s="308"/>
      <c r="AZ203" s="10"/>
      <c r="BA203" s="65">
        <f t="shared" si="152"/>
        <v>771516</v>
      </c>
      <c r="BB203" s="66"/>
      <c r="BC203" s="66">
        <v>106173222</v>
      </c>
      <c r="BD203" s="66"/>
      <c r="BE203" s="66">
        <f t="shared" si="153"/>
        <v>44227</v>
      </c>
      <c r="BF203" s="66"/>
      <c r="BG203" s="144">
        <f t="shared" si="154"/>
        <v>5.7324799485687916E-2</v>
      </c>
      <c r="BH203" s="66"/>
      <c r="BI203" s="170"/>
      <c r="BJ203" s="66"/>
      <c r="BK203" s="66">
        <f t="shared" si="155"/>
        <v>6491249</v>
      </c>
      <c r="BL203" s="66"/>
      <c r="BM203" s="144">
        <f t="shared" si="156"/>
        <v>4.6097908122150297E-2</v>
      </c>
      <c r="BN203" s="65">
        <f t="shared" si="157"/>
        <v>547284.64948453603</v>
      </c>
      <c r="BO203" s="66"/>
      <c r="BP203" s="66">
        <f t="shared" si="158"/>
        <v>7080425</v>
      </c>
      <c r="BQ203" s="66"/>
      <c r="BR203" s="435">
        <f t="shared" si="159"/>
        <v>6.6687483591672481E-2</v>
      </c>
      <c r="BS203" s="66"/>
      <c r="BT203" s="75"/>
      <c r="BU203" s="170"/>
      <c r="BV203" s="1"/>
      <c r="BW203" s="61">
        <f t="shared" si="164"/>
        <v>194</v>
      </c>
    </row>
    <row r="204" spans="2:75" x14ac:dyDescent="0.3">
      <c r="B204" s="158">
        <f t="shared" si="163"/>
        <v>44104</v>
      </c>
      <c r="C204" s="61"/>
      <c r="D204" s="17">
        <v>40929</v>
      </c>
      <c r="E204" s="16"/>
      <c r="F204" s="16"/>
      <c r="G204" s="16"/>
      <c r="H204" s="16">
        <f t="shared" si="139"/>
        <v>8028332</v>
      </c>
      <c r="I204" s="16"/>
      <c r="J204" s="436">
        <f t="shared" si="140"/>
        <v>5.1241936834788481E-3</v>
      </c>
      <c r="K204" s="16"/>
      <c r="L204" s="16"/>
      <c r="M204" s="16"/>
      <c r="N204" s="426">
        <f>SUM(D175:D204)</f>
        <v>1202331</v>
      </c>
      <c r="O204" s="16">
        <f t="shared" si="142"/>
        <v>41170.933333333334</v>
      </c>
      <c r="P204" s="41"/>
      <c r="Q204" s="17">
        <f t="shared" si="161"/>
        <v>298546</v>
      </c>
      <c r="R204" s="16"/>
      <c r="S204" s="60">
        <f t="shared" si="162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3"/>
        <v>214529</v>
      </c>
      <c r="AB204" s="33"/>
      <c r="AC204" s="46">
        <f t="shared" si="144"/>
        <v>2.6721490840189471E-2</v>
      </c>
      <c r="AD204" s="33"/>
      <c r="AE204" s="33">
        <f t="shared" si="145"/>
        <v>1100.1487179487181</v>
      </c>
      <c r="AF204" s="50"/>
      <c r="AG204" s="33">
        <f t="shared" si="165"/>
        <v>5137</v>
      </c>
      <c r="AH204" s="33">
        <f t="shared" si="160"/>
        <v>815936519.34662843</v>
      </c>
      <c r="AI204" s="213">
        <f t="shared" si="147"/>
        <v>-2.468198215302829E-2</v>
      </c>
      <c r="AJ204" s="50"/>
      <c r="AK204" s="10"/>
      <c r="AL204" s="23">
        <f t="shared" si="148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9"/>
        <v>1.0975796800943407E-2</v>
      </c>
      <c r="AS204" s="25"/>
      <c r="AT204" s="25"/>
      <c r="AU204" s="24"/>
      <c r="AV204" s="298">
        <f t="shared" si="150"/>
        <v>0.58539009099274919</v>
      </c>
      <c r="AW204" s="298"/>
      <c r="AX204" s="24">
        <f t="shared" si="151"/>
        <v>24101.056410256409</v>
      </c>
      <c r="AY204" s="308"/>
      <c r="AZ204" s="10"/>
      <c r="BA204" s="65">
        <f t="shared" si="152"/>
        <v>1363003</v>
      </c>
      <c r="BB204" s="66"/>
      <c r="BC204" s="66">
        <v>107536225</v>
      </c>
      <c r="BD204" s="66"/>
      <c r="BE204" s="66">
        <f t="shared" si="153"/>
        <v>40929</v>
      </c>
      <c r="BF204" s="66"/>
      <c r="BG204" s="144">
        <f t="shared" si="154"/>
        <v>3.0028547259250346E-2</v>
      </c>
      <c r="BH204" s="66"/>
      <c r="BI204" s="170"/>
      <c r="BJ204" s="66"/>
      <c r="BK204" s="66">
        <f t="shared" si="155"/>
        <v>6954135</v>
      </c>
      <c r="BL204" s="66"/>
      <c r="BM204" s="144">
        <f t="shared" si="156"/>
        <v>4.2930716760603581E-2</v>
      </c>
      <c r="BN204" s="65">
        <f t="shared" si="157"/>
        <v>551467.8205128205</v>
      </c>
      <c r="BO204" s="66"/>
      <c r="BP204" s="66">
        <f t="shared" si="158"/>
        <v>7121354</v>
      </c>
      <c r="BQ204" s="66"/>
      <c r="BR204" s="435">
        <f t="shared" si="159"/>
        <v>6.6222837932054995E-2</v>
      </c>
      <c r="BS204" s="66"/>
      <c r="BT204" s="75"/>
      <c r="BU204" s="170"/>
      <c r="BV204" s="1"/>
      <c r="BW204" s="61">
        <f t="shared" si="164"/>
        <v>195</v>
      </c>
    </row>
    <row r="205" spans="2:75" x14ac:dyDescent="0.3">
      <c r="B205" s="158">
        <f t="shared" si="163"/>
        <v>44105</v>
      </c>
      <c r="C205" s="61"/>
      <c r="D205" s="17">
        <v>47389</v>
      </c>
      <c r="E205" s="16"/>
      <c r="F205" s="16"/>
      <c r="G205" s="16"/>
      <c r="H205" s="16">
        <f t="shared" si="139"/>
        <v>8075721</v>
      </c>
      <c r="I205" s="16"/>
      <c r="J205" s="436">
        <f t="shared" si="140"/>
        <v>5.9027205152950828E-3</v>
      </c>
      <c r="K205" s="16"/>
      <c r="L205" s="16"/>
      <c r="M205" s="16"/>
      <c r="N205" s="16">
        <f t="shared" si="141"/>
        <v>300580</v>
      </c>
      <c r="O205" s="16">
        <f t="shared" si="142"/>
        <v>41202.658163265303</v>
      </c>
      <c r="P205" s="41"/>
      <c r="Q205" s="17">
        <f t="shared" si="161"/>
        <v>300580</v>
      </c>
      <c r="R205" s="16"/>
      <c r="S205" s="60">
        <f t="shared" si="162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3"/>
        <v>215449</v>
      </c>
      <c r="AB205" s="33"/>
      <c r="AC205" s="46">
        <f t="shared" si="144"/>
        <v>2.6678608634448861E-2</v>
      </c>
      <c r="AD205" s="33"/>
      <c r="AE205" s="33">
        <f t="shared" si="145"/>
        <v>1099.2295918367347</v>
      </c>
      <c r="AF205" s="50"/>
      <c r="AG205" s="33">
        <f t="shared" ref="AG205:AG212" si="166">SUM(W199:W205)</f>
        <v>5115</v>
      </c>
      <c r="AH205" s="33">
        <f t="shared" si="160"/>
        <v>815894540.34662843</v>
      </c>
      <c r="AI205" s="213">
        <f t="shared" si="147"/>
        <v>-4.0337711069418386E-2</v>
      </c>
      <c r="AJ205" s="50"/>
      <c r="AK205" s="10"/>
      <c r="AL205" s="23">
        <f t="shared" si="148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9"/>
        <v>7.8547466586207735E-3</v>
      </c>
      <c r="AS205" s="25"/>
      <c r="AT205" s="25"/>
      <c r="AU205" s="24"/>
      <c r="AV205" s="298">
        <f t="shared" si="150"/>
        <v>0.58652608231512704</v>
      </c>
      <c r="AW205" s="298"/>
      <c r="AX205" s="24">
        <f t="shared" si="151"/>
        <v>24166.433673469386</v>
      </c>
      <c r="AY205" s="308"/>
      <c r="AZ205" s="10"/>
      <c r="BA205" s="65">
        <f t="shared" si="152"/>
        <v>895735</v>
      </c>
      <c r="BB205" s="66"/>
      <c r="BC205" s="66">
        <v>108431960</v>
      </c>
      <c r="BD205" s="66"/>
      <c r="BE205" s="66">
        <f t="shared" si="153"/>
        <v>47389</v>
      </c>
      <c r="BF205" s="66"/>
      <c r="BG205" s="144">
        <f t="shared" si="154"/>
        <v>5.2905156100855721E-2</v>
      </c>
      <c r="BH205" s="66"/>
      <c r="BI205" s="170"/>
      <c r="BJ205" s="66"/>
      <c r="BK205" s="66">
        <f t="shared" si="155"/>
        <v>6859769</v>
      </c>
      <c r="BL205" s="66"/>
      <c r="BM205" s="144">
        <f t="shared" si="156"/>
        <v>4.3817802028027472E-2</v>
      </c>
      <c r="BN205" s="65">
        <f t="shared" si="157"/>
        <v>553224.28571428568</v>
      </c>
      <c r="BO205" s="66"/>
      <c r="BP205" s="66">
        <f t="shared" si="158"/>
        <v>7168743</v>
      </c>
      <c r="BQ205" s="66"/>
      <c r="BR205" s="435">
        <f t="shared" si="159"/>
        <v>6.6112823193456988E-2</v>
      </c>
      <c r="BS205" s="66"/>
      <c r="BT205" s="75"/>
      <c r="BU205" s="170"/>
      <c r="BV205" s="1"/>
      <c r="BW205" s="61">
        <f t="shared" si="164"/>
        <v>196</v>
      </c>
    </row>
    <row r="206" spans="2:75" x14ac:dyDescent="0.3">
      <c r="B206" s="158">
        <f t="shared" si="163"/>
        <v>44106</v>
      </c>
      <c r="C206" s="61"/>
      <c r="D206" s="17">
        <v>51403</v>
      </c>
      <c r="E206" s="16"/>
      <c r="F206" s="16"/>
      <c r="G206" s="16"/>
      <c r="H206" s="16">
        <f t="shared" si="139"/>
        <v>8127124</v>
      </c>
      <c r="I206" s="16"/>
      <c r="J206" s="436">
        <f t="shared" si="140"/>
        <v>6.3651282653276403E-3</v>
      </c>
      <c r="K206" s="16"/>
      <c r="L206" s="16"/>
      <c r="M206" s="16"/>
      <c r="N206" s="16">
        <f t="shared" si="141"/>
        <v>298354</v>
      </c>
      <c r="O206" s="16">
        <f t="shared" si="142"/>
        <v>41254.436548223348</v>
      </c>
      <c r="P206" s="41"/>
      <c r="Q206" s="17">
        <f t="shared" si="161"/>
        <v>298354</v>
      </c>
      <c r="R206" s="16"/>
      <c r="S206" s="60">
        <f t="shared" si="162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3"/>
        <v>216313</v>
      </c>
      <c r="AB206" s="33"/>
      <c r="AC206" s="46">
        <f t="shared" si="144"/>
        <v>2.6616180582454508E-2</v>
      </c>
      <c r="AD206" s="33"/>
      <c r="AE206" s="33">
        <f t="shared" si="145"/>
        <v>1098.0355329949239</v>
      </c>
      <c r="AF206" s="50"/>
      <c r="AG206" s="33">
        <f t="shared" si="166"/>
        <v>5084</v>
      </c>
      <c r="AH206" s="33">
        <f t="shared" si="160"/>
        <v>815853329.34662843</v>
      </c>
      <c r="AI206" s="213">
        <f t="shared" si="147"/>
        <v>-3.4744636415416745E-2</v>
      </c>
      <c r="AJ206" s="50"/>
      <c r="AK206" s="10"/>
      <c r="AL206" s="23">
        <f t="shared" si="148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9"/>
        <v>8.4876961867964527E-3</v>
      </c>
      <c r="AS206" s="25"/>
      <c r="AT206" s="25"/>
      <c r="AU206" s="24"/>
      <c r="AV206" s="298">
        <f t="shared" si="150"/>
        <v>0.58776314967016619</v>
      </c>
      <c r="AW206" s="298"/>
      <c r="AX206" s="24">
        <f t="shared" si="151"/>
        <v>24247.837563451776</v>
      </c>
      <c r="AY206" s="308"/>
      <c r="AZ206" s="10"/>
      <c r="BA206" s="65">
        <f t="shared" si="152"/>
        <v>1138486</v>
      </c>
      <c r="BB206" s="66"/>
      <c r="BC206" s="66">
        <v>109570446</v>
      </c>
      <c r="BD206" s="66"/>
      <c r="BE206" s="66">
        <f t="shared" si="153"/>
        <v>51403</v>
      </c>
      <c r="BF206" s="66"/>
      <c r="BG206" s="144">
        <f t="shared" si="154"/>
        <v>4.515031366217942E-2</v>
      </c>
      <c r="BH206" s="66"/>
      <c r="BI206" s="170"/>
      <c r="BJ206" s="66"/>
      <c r="BK206" s="66">
        <f t="shared" si="155"/>
        <v>7023091</v>
      </c>
      <c r="BL206" s="66"/>
      <c r="BM206" s="144">
        <f t="shared" si="156"/>
        <v>4.2481864466799593E-2</v>
      </c>
      <c r="BN206" s="65">
        <f t="shared" si="157"/>
        <v>556195.15736040613</v>
      </c>
      <c r="BO206" s="66"/>
      <c r="BP206" s="66">
        <f t="shared" si="158"/>
        <v>7220146</v>
      </c>
      <c r="BQ206" s="66"/>
      <c r="BR206" s="435">
        <f t="shared" si="159"/>
        <v>6.589501333233598E-2</v>
      </c>
      <c r="BS206" s="66"/>
      <c r="BT206" s="75"/>
      <c r="BU206" s="170"/>
      <c r="BV206" s="1"/>
      <c r="BW206" s="61">
        <f t="shared" si="164"/>
        <v>197</v>
      </c>
    </row>
    <row r="207" spans="2:75" x14ac:dyDescent="0.3">
      <c r="B207" s="158">
        <f t="shared" si="163"/>
        <v>44107</v>
      </c>
      <c r="C207" s="61"/>
      <c r="D207" s="17">
        <v>48925</v>
      </c>
      <c r="E207" s="16"/>
      <c r="F207" s="16"/>
      <c r="G207" s="16"/>
      <c r="H207" s="16">
        <f t="shared" si="139"/>
        <v>8176049</v>
      </c>
      <c r="I207" s="16"/>
      <c r="J207" s="436">
        <f t="shared" si="140"/>
        <v>6.0199647501379336E-3</v>
      </c>
      <c r="K207" s="16"/>
      <c r="L207" s="16"/>
      <c r="M207" s="16"/>
      <c r="N207" s="16">
        <f t="shared" si="141"/>
        <v>304073</v>
      </c>
      <c r="O207" s="16">
        <f t="shared" si="142"/>
        <v>41293.17676767677</v>
      </c>
      <c r="P207" s="41"/>
      <c r="Q207" s="17">
        <f t="shared" si="161"/>
        <v>304073</v>
      </c>
      <c r="R207" s="16"/>
      <c r="S207" s="60">
        <f t="shared" si="162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3"/>
        <v>217068</v>
      </c>
      <c r="AB207" s="33"/>
      <c r="AC207" s="46">
        <f t="shared" si="144"/>
        <v>2.6549253802172663E-2</v>
      </c>
      <c r="AD207" s="33"/>
      <c r="AE207" s="33">
        <f t="shared" si="145"/>
        <v>1096.3030303030303</v>
      </c>
      <c r="AF207" s="50"/>
      <c r="AG207" s="33">
        <f t="shared" si="166"/>
        <v>5102</v>
      </c>
      <c r="AH207" s="33">
        <f t="shared" si="160"/>
        <v>815807865.34662843</v>
      </c>
      <c r="AI207" s="213">
        <f t="shared" si="147"/>
        <v>-4.5641601197156753E-2</v>
      </c>
      <c r="AJ207" s="50"/>
      <c r="AK207" s="10"/>
      <c r="AL207" s="23">
        <f t="shared" si="148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9"/>
        <v>8.7265094966865013E-3</v>
      </c>
      <c r="AS207" s="25"/>
      <c r="AT207" s="25"/>
      <c r="AU207" s="24"/>
      <c r="AV207" s="298">
        <f t="shared" si="150"/>
        <v>0.58934443763729893</v>
      </c>
      <c r="AW207" s="298"/>
      <c r="AX207" s="24">
        <f t="shared" si="151"/>
        <v>24335.904040404039</v>
      </c>
      <c r="AY207" s="308"/>
      <c r="AZ207" s="10"/>
      <c r="BA207" s="65">
        <f t="shared" si="152"/>
        <v>955837</v>
      </c>
      <c r="BB207" s="66"/>
      <c r="BC207" s="66">
        <v>110526283</v>
      </c>
      <c r="BD207" s="66"/>
      <c r="BE207" s="66">
        <f t="shared" si="153"/>
        <v>48925</v>
      </c>
      <c r="BF207" s="66"/>
      <c r="BG207" s="144">
        <f t="shared" si="154"/>
        <v>5.1185505478444547E-2</v>
      </c>
      <c r="BH207" s="66"/>
      <c r="BI207" s="170"/>
      <c r="BJ207" s="66"/>
      <c r="BK207" s="66">
        <f t="shared" si="155"/>
        <v>6950760</v>
      </c>
      <c r="BL207" s="66"/>
      <c r="BM207" s="144">
        <f t="shared" si="156"/>
        <v>4.3746726976618383E-2</v>
      </c>
      <c r="BN207" s="65">
        <f t="shared" si="157"/>
        <v>558213.55050505046</v>
      </c>
      <c r="BO207" s="66"/>
      <c r="BP207" s="66">
        <f t="shared" si="158"/>
        <v>7269071</v>
      </c>
      <c r="BQ207" s="66"/>
      <c r="BR207" s="435">
        <f t="shared" si="159"/>
        <v>6.5767804749210651E-2</v>
      </c>
      <c r="BS207" s="66"/>
      <c r="BT207" s="75"/>
      <c r="BU207" s="170"/>
      <c r="BV207" s="1"/>
      <c r="BW207" s="61">
        <f t="shared" si="164"/>
        <v>198</v>
      </c>
    </row>
    <row r="208" spans="2:75" x14ac:dyDescent="0.3">
      <c r="B208" s="347">
        <f t="shared" si="163"/>
        <v>44108</v>
      </c>
      <c r="C208" s="61"/>
      <c r="D208" s="17">
        <v>34066</v>
      </c>
      <c r="E208" s="16"/>
      <c r="F208" s="16"/>
      <c r="G208" s="16"/>
      <c r="H208" s="16">
        <f t="shared" si="139"/>
        <v>8210115</v>
      </c>
      <c r="I208" s="16"/>
      <c r="J208" s="436">
        <f t="shared" si="140"/>
        <v>4.1665601563787109E-3</v>
      </c>
      <c r="K208" s="16"/>
      <c r="L208" s="16"/>
      <c r="M208" s="16"/>
      <c r="N208" s="16">
        <f t="shared" si="141"/>
        <v>304357</v>
      </c>
      <c r="O208" s="16">
        <f t="shared" si="142"/>
        <v>41256.859296482413</v>
      </c>
      <c r="P208" s="41"/>
      <c r="Q208" s="17">
        <f t="shared" si="161"/>
        <v>304357</v>
      </c>
      <c r="R208" s="16"/>
      <c r="S208" s="60">
        <f t="shared" si="162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3"/>
        <v>217400</v>
      </c>
      <c r="AB208" s="33"/>
      <c r="AC208" s="46">
        <f t="shared" si="144"/>
        <v>2.6479531650896487E-2</v>
      </c>
      <c r="AD208" s="33"/>
      <c r="AE208" s="33">
        <f t="shared" si="145"/>
        <v>1092.462311557789</v>
      </c>
      <c r="AF208" s="50"/>
      <c r="AG208" s="33">
        <f t="shared" si="166"/>
        <v>5158</v>
      </c>
      <c r="AH208" s="33">
        <f t="shared" si="160"/>
        <v>815755016.34662843</v>
      </c>
      <c r="AI208" s="213">
        <f t="shared" si="147"/>
        <v>-3.1906906906906909E-2</v>
      </c>
      <c r="AJ208" s="50"/>
      <c r="AK208" s="10"/>
      <c r="AL208" s="23">
        <f t="shared" si="148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9"/>
        <v>6.3357773120274342E-3</v>
      </c>
      <c r="AS208" s="25"/>
      <c r="AT208" s="25"/>
      <c r="AU208" s="24"/>
      <c r="AV208" s="298">
        <f t="shared" si="150"/>
        <v>0.59061754920607079</v>
      </c>
      <c r="AW208" s="298"/>
      <c r="AX208" s="24">
        <f t="shared" si="151"/>
        <v>24367.025125628141</v>
      </c>
      <c r="AY208" s="308"/>
      <c r="AZ208" s="348"/>
      <c r="BA208" s="65">
        <f t="shared" si="152"/>
        <v>943983</v>
      </c>
      <c r="BB208" s="66"/>
      <c r="BC208" s="66">
        <v>111470266</v>
      </c>
      <c r="BD208" s="66"/>
      <c r="BE208" s="66">
        <f t="shared" si="153"/>
        <v>34066</v>
      </c>
      <c r="BF208" s="66"/>
      <c r="BG208" s="144">
        <f t="shared" si="154"/>
        <v>3.6087514287863234E-2</v>
      </c>
      <c r="BH208" s="66"/>
      <c r="BI208" s="170"/>
      <c r="BJ208" s="66"/>
      <c r="BK208" s="66">
        <f t="shared" si="155"/>
        <v>7135104</v>
      </c>
      <c r="BL208" s="66"/>
      <c r="BM208" s="144">
        <f t="shared" si="156"/>
        <v>4.2656280833467883E-2</v>
      </c>
      <c r="BN208" s="65">
        <f t="shared" si="157"/>
        <v>560152.09045226127</v>
      </c>
      <c r="BO208" s="66"/>
      <c r="BP208" s="66">
        <f t="shared" si="158"/>
        <v>7303137</v>
      </c>
      <c r="BQ208" s="66"/>
      <c r="BR208" s="435">
        <f t="shared" si="159"/>
        <v>6.5516457994278049E-2</v>
      </c>
      <c r="BS208" s="66"/>
      <c r="BT208" s="75"/>
      <c r="BU208" s="170"/>
      <c r="BV208" s="1"/>
      <c r="BW208" s="61">
        <f t="shared" si="164"/>
        <v>199</v>
      </c>
    </row>
    <row r="209" spans="2:75" x14ac:dyDescent="0.3">
      <c r="B209" s="158">
        <f t="shared" si="163"/>
        <v>44109</v>
      </c>
      <c r="C209" s="61"/>
      <c r="D209" s="17">
        <v>37717</v>
      </c>
      <c r="E209" s="16"/>
      <c r="F209" s="16"/>
      <c r="G209" s="16"/>
      <c r="H209" s="16">
        <f t="shared" si="139"/>
        <v>8247832</v>
      </c>
      <c r="I209" s="16"/>
      <c r="J209" s="436">
        <f t="shared" si="140"/>
        <v>4.5939673195807855E-3</v>
      </c>
      <c r="K209" s="16"/>
      <c r="L209" s="16"/>
      <c r="M209" s="16"/>
      <c r="N209" s="16">
        <f t="shared" si="141"/>
        <v>304656</v>
      </c>
      <c r="O209" s="16">
        <f t="shared" si="142"/>
        <v>41239.160000000003</v>
      </c>
      <c r="P209" s="41"/>
      <c r="Q209" s="17">
        <f t="shared" si="161"/>
        <v>304656</v>
      </c>
      <c r="R209" s="16"/>
      <c r="S209" s="60">
        <f t="shared" si="162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3"/>
        <v>217748</v>
      </c>
      <c r="AB209" s="33"/>
      <c r="AC209" s="46">
        <f t="shared" si="144"/>
        <v>2.6400634736498028E-2</v>
      </c>
      <c r="AD209" s="33"/>
      <c r="AE209" s="33">
        <f t="shared" si="145"/>
        <v>1088.74</v>
      </c>
      <c r="AF209" s="50"/>
      <c r="AG209" s="33">
        <f t="shared" si="166"/>
        <v>5151</v>
      </c>
      <c r="AH209" s="33">
        <f t="shared" si="160"/>
        <v>815712924.34662843</v>
      </c>
      <c r="AI209" s="213">
        <f t="shared" si="147"/>
        <v>-2.7929798075108512E-2</v>
      </c>
      <c r="AJ209" s="50"/>
      <c r="AK209" s="10"/>
      <c r="AL209" s="23">
        <f t="shared" si="148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9"/>
        <v>8.0017933454017073E-3</v>
      </c>
      <c r="AS209" s="25"/>
      <c r="AT209" s="25"/>
      <c r="AU209" s="24"/>
      <c r="AV209" s="298">
        <f t="shared" si="150"/>
        <v>0.59262106696644645</v>
      </c>
      <c r="AW209" s="298"/>
      <c r="AX209" s="24">
        <f t="shared" si="151"/>
        <v>24439.195</v>
      </c>
      <c r="AY209" s="308"/>
      <c r="AZ209" s="10"/>
      <c r="BA209" s="65">
        <f t="shared" si="152"/>
        <v>901908</v>
      </c>
      <c r="BB209" s="66"/>
      <c r="BC209" s="66">
        <v>112372174</v>
      </c>
      <c r="BD209" s="66"/>
      <c r="BE209" s="66">
        <f t="shared" si="153"/>
        <v>37717</v>
      </c>
      <c r="BF209" s="66"/>
      <c r="BG209" s="144">
        <f t="shared" si="154"/>
        <v>4.1819121240747395E-2</v>
      </c>
      <c r="BH209" s="66"/>
      <c r="BI209" s="170"/>
      <c r="BJ209" s="66"/>
      <c r="BK209" s="66">
        <f t="shared" si="155"/>
        <v>6970468</v>
      </c>
      <c r="BL209" s="66"/>
      <c r="BM209" s="144">
        <f t="shared" si="156"/>
        <v>4.3706677944723368E-2</v>
      </c>
      <c r="BN209" s="65">
        <f t="shared" si="157"/>
        <v>561860.87</v>
      </c>
      <c r="BO209" s="66"/>
      <c r="BP209" s="66">
        <f t="shared" si="158"/>
        <v>7340854</v>
      </c>
      <c r="BQ209" s="66"/>
      <c r="BR209" s="435">
        <f t="shared" si="159"/>
        <v>6.5326261286001289E-2</v>
      </c>
      <c r="BS209" s="66"/>
      <c r="BT209" s="75"/>
      <c r="BU209" s="170"/>
      <c r="BV209" s="1"/>
      <c r="BW209" s="61">
        <f t="shared" si="164"/>
        <v>200</v>
      </c>
    </row>
    <row r="210" spans="2:75" x14ac:dyDescent="0.3">
      <c r="B210" s="158">
        <f t="shared" si="163"/>
        <v>44110</v>
      </c>
      <c r="C210" s="61"/>
      <c r="D210" s="17">
        <v>44668</v>
      </c>
      <c r="E210" s="16"/>
      <c r="F210" s="16"/>
      <c r="G210" s="16"/>
      <c r="H210" s="16">
        <f t="shared" si="139"/>
        <v>8292500</v>
      </c>
      <c r="I210" s="16"/>
      <c r="J210" s="436">
        <f t="shared" si="140"/>
        <v>5.4157262175078252E-3</v>
      </c>
      <c r="K210" s="16"/>
      <c r="L210" s="16"/>
      <c r="M210" s="16"/>
      <c r="N210" s="16">
        <f t="shared" si="141"/>
        <v>305097</v>
      </c>
      <c r="O210" s="16">
        <f t="shared" si="142"/>
        <v>41256.218905472633</v>
      </c>
      <c r="P210" s="41"/>
      <c r="Q210" s="17">
        <f t="shared" si="161"/>
        <v>305097</v>
      </c>
      <c r="R210" s="16"/>
      <c r="S210" s="60">
        <f t="shared" si="162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3"/>
        <v>218556</v>
      </c>
      <c r="AB210" s="33"/>
      <c r="AC210" s="46">
        <f t="shared" si="144"/>
        <v>2.6355863732288213E-2</v>
      </c>
      <c r="AD210" s="33"/>
      <c r="AE210" s="33">
        <f t="shared" si="145"/>
        <v>1087.3432835820895</v>
      </c>
      <c r="AF210" s="50"/>
      <c r="AG210" s="33">
        <f t="shared" si="166"/>
        <v>4982</v>
      </c>
      <c r="AH210" s="33">
        <f t="shared" si="160"/>
        <v>815681814.34662843</v>
      </c>
      <c r="AI210" s="213">
        <f t="shared" si="147"/>
        <v>-5.9467623182933735E-2</v>
      </c>
      <c r="AJ210" s="50"/>
      <c r="AK210" s="10"/>
      <c r="AL210" s="23">
        <f t="shared" si="148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9"/>
        <v>9.7601414449207512E-3</v>
      </c>
      <c r="AS210" s="25"/>
      <c r="AT210" s="25"/>
      <c r="AU210" s="24"/>
      <c r="AV210" s="298">
        <f t="shared" si="150"/>
        <v>0.59518179077479649</v>
      </c>
      <c r="AW210" s="298"/>
      <c r="AX210" s="24">
        <f t="shared" si="151"/>
        <v>24554.95024875622</v>
      </c>
      <c r="AY210" s="308"/>
      <c r="AZ210" s="10"/>
      <c r="BA210" s="65">
        <f t="shared" si="152"/>
        <v>947144</v>
      </c>
      <c r="BB210" s="66"/>
      <c r="BC210" s="66">
        <v>113319318</v>
      </c>
      <c r="BD210" s="66"/>
      <c r="BE210" s="66">
        <f t="shared" si="153"/>
        <v>44668</v>
      </c>
      <c r="BF210" s="66"/>
      <c r="BG210" s="144">
        <f t="shared" si="154"/>
        <v>4.7160727407870397E-2</v>
      </c>
      <c r="BH210" s="66"/>
      <c r="BI210" s="170"/>
      <c r="BJ210" s="66"/>
      <c r="BK210" s="66">
        <f t="shared" si="155"/>
        <v>7146096</v>
      </c>
      <c r="BL210" s="66"/>
      <c r="BM210" s="144">
        <f t="shared" si="156"/>
        <v>4.2694220732551032E-2</v>
      </c>
      <c r="BN210" s="65">
        <f t="shared" si="157"/>
        <v>563777.70149253728</v>
      </c>
      <c r="BO210" s="66"/>
      <c r="BP210" s="66">
        <f t="shared" si="158"/>
        <v>7385522</v>
      </c>
      <c r="BQ210" s="66"/>
      <c r="BR210" s="435">
        <f t="shared" si="159"/>
        <v>6.5174430364997427E-2</v>
      </c>
      <c r="BS210" s="66"/>
      <c r="BT210" s="75"/>
      <c r="BU210" s="170"/>
      <c r="BV210" s="1"/>
      <c r="BW210" s="61">
        <f t="shared" si="164"/>
        <v>201</v>
      </c>
    </row>
    <row r="211" spans="2:75" x14ac:dyDescent="0.3">
      <c r="B211" s="158">
        <f t="shared" si="163"/>
        <v>44111</v>
      </c>
      <c r="C211" s="61"/>
      <c r="D211" s="17">
        <v>49358</v>
      </c>
      <c r="E211" s="16"/>
      <c r="F211" s="16"/>
      <c r="G211" s="16"/>
      <c r="H211" s="16">
        <f t="shared" si="139"/>
        <v>8341858</v>
      </c>
      <c r="I211" s="16"/>
      <c r="J211" s="436">
        <f t="shared" si="140"/>
        <v>5.9521254145312027E-3</v>
      </c>
      <c r="K211" s="16"/>
      <c r="L211" s="16"/>
      <c r="M211" s="16"/>
      <c r="N211" s="16">
        <f t="shared" si="141"/>
        <v>313526</v>
      </c>
      <c r="O211" s="16">
        <f t="shared" si="142"/>
        <v>41296.326732673268</v>
      </c>
      <c r="P211" s="41"/>
      <c r="Q211" s="17">
        <f t="shared" si="161"/>
        <v>313526</v>
      </c>
      <c r="R211" s="16"/>
      <c r="S211" s="60">
        <f t="shared" si="162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3"/>
        <v>219486</v>
      </c>
      <c r="AB211" s="33"/>
      <c r="AC211" s="46">
        <f t="shared" si="144"/>
        <v>2.6311404485667343E-2</v>
      </c>
      <c r="AD211" s="33"/>
      <c r="AE211" s="33">
        <f t="shared" si="145"/>
        <v>1086.5643564356435</v>
      </c>
      <c r="AF211" s="50"/>
      <c r="AG211" s="33">
        <f t="shared" si="166"/>
        <v>4957</v>
      </c>
      <c r="AH211" s="33">
        <f t="shared" ref="AH211:AH216" si="167">SUM(D182:D619)</f>
        <v>815656394.34662843</v>
      </c>
      <c r="AI211" s="213">
        <f t="shared" si="147"/>
        <v>-3.5039906560249176E-2</v>
      </c>
      <c r="AJ211" s="50"/>
      <c r="AK211" s="10"/>
      <c r="AL211" s="23">
        <f t="shared" si="148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9"/>
        <v>9.6919387828497162E-3</v>
      </c>
      <c r="AS211" s="25"/>
      <c r="AT211" s="25"/>
      <c r="AU211" s="24"/>
      <c r="AV211" s="298">
        <f t="shared" si="150"/>
        <v>0.59739448933319172</v>
      </c>
      <c r="AW211" s="298"/>
      <c r="AX211" s="24">
        <f t="shared" si="151"/>
        <v>24670.198019801981</v>
      </c>
      <c r="AY211" s="308"/>
      <c r="AZ211" s="10"/>
      <c r="BA211" s="65">
        <f t="shared" si="152"/>
        <v>839531</v>
      </c>
      <c r="BB211" s="66"/>
      <c r="BC211" s="66">
        <v>114158849</v>
      </c>
      <c r="BD211" s="66"/>
      <c r="BE211" s="66">
        <f t="shared" si="153"/>
        <v>49358</v>
      </c>
      <c r="BF211" s="66"/>
      <c r="BG211" s="144">
        <f t="shared" si="154"/>
        <v>5.8792349538015869E-2</v>
      </c>
      <c r="BH211" s="66"/>
      <c r="BI211" s="170"/>
      <c r="BJ211" s="66"/>
      <c r="BK211" s="66">
        <f t="shared" si="155"/>
        <v>6622624</v>
      </c>
      <c r="BL211" s="66"/>
      <c r="BM211" s="144">
        <f t="shared" si="156"/>
        <v>4.7341657928941759E-2</v>
      </c>
      <c r="BN211" s="65">
        <f t="shared" si="157"/>
        <v>565142.81683168316</v>
      </c>
      <c r="BO211" s="66"/>
      <c r="BP211" s="66">
        <f t="shared" si="158"/>
        <v>7434880</v>
      </c>
      <c r="BQ211" s="66"/>
      <c r="BR211" s="435">
        <f t="shared" si="159"/>
        <v>6.5127496161072898E-2</v>
      </c>
      <c r="BS211" s="66"/>
      <c r="BT211" s="75"/>
      <c r="BU211" s="170"/>
      <c r="BV211" s="1"/>
      <c r="BW211" s="61">
        <f t="shared" si="164"/>
        <v>202</v>
      </c>
    </row>
    <row r="212" spans="2:75" x14ac:dyDescent="0.3">
      <c r="B212" s="158">
        <f t="shared" si="163"/>
        <v>44112</v>
      </c>
      <c r="C212" s="61"/>
      <c r="D212" s="17">
        <v>57318</v>
      </c>
      <c r="E212" s="16"/>
      <c r="F212" s="16"/>
      <c r="G212" s="16"/>
      <c r="H212" s="16">
        <f t="shared" si="139"/>
        <v>8399176</v>
      </c>
      <c r="I212" s="16"/>
      <c r="J212" s="436">
        <f t="shared" si="140"/>
        <v>6.8711311077220448E-3</v>
      </c>
      <c r="K212" s="16"/>
      <c r="L212" s="16"/>
      <c r="M212" s="16"/>
      <c r="N212" s="16">
        <f t="shared" si="141"/>
        <v>323455</v>
      </c>
      <c r="O212" s="16">
        <f t="shared" si="142"/>
        <v>41375.251231527094</v>
      </c>
      <c r="P212" s="41"/>
      <c r="Q212" s="17">
        <f t="shared" si="161"/>
        <v>323455</v>
      </c>
      <c r="R212" s="16"/>
      <c r="S212" s="60">
        <f t="shared" si="162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3"/>
        <v>220443</v>
      </c>
      <c r="AB212" s="33"/>
      <c r="AC212" s="46">
        <f t="shared" si="144"/>
        <v>2.6245788872622744E-2</v>
      </c>
      <c r="AD212" s="33"/>
      <c r="AE212" s="33">
        <f t="shared" si="145"/>
        <v>1085.9261083743843</v>
      </c>
      <c r="AF212" s="50"/>
      <c r="AG212" s="33">
        <f t="shared" si="166"/>
        <v>4994</v>
      </c>
      <c r="AH212" s="33">
        <f t="shared" si="167"/>
        <v>815627955.34662843</v>
      </c>
      <c r="AI212" s="213">
        <f t="shared" si="147"/>
        <v>-2.3655913978494623E-2</v>
      </c>
      <c r="AJ212" s="50"/>
      <c r="AK212" s="10"/>
      <c r="AL212" s="23">
        <f t="shared" si="148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9"/>
        <v>8.3904899887225128E-3</v>
      </c>
      <c r="AS212" s="25"/>
      <c r="AT212" s="25"/>
      <c r="AU212" s="24"/>
      <c r="AV212" s="298">
        <f t="shared" si="150"/>
        <v>0.59829595188861384</v>
      </c>
      <c r="AW212" s="298"/>
      <c r="AX212" s="24">
        <f t="shared" si="151"/>
        <v>24754.645320197043</v>
      </c>
      <c r="AY212" s="308"/>
      <c r="AZ212" s="10"/>
      <c r="BA212" s="65">
        <f t="shared" si="152"/>
        <v>1184966</v>
      </c>
      <c r="BB212" s="66"/>
      <c r="BC212" s="66">
        <v>115343815</v>
      </c>
      <c r="BD212" s="66"/>
      <c r="BE212" s="66">
        <f t="shared" si="153"/>
        <v>57318</v>
      </c>
      <c r="BF212" s="66"/>
      <c r="BG212" s="144">
        <f t="shared" si="154"/>
        <v>4.8371008113312956E-2</v>
      </c>
      <c r="BH212" s="66"/>
      <c r="BI212" s="170"/>
      <c r="BJ212" s="66"/>
      <c r="BK212" s="66">
        <f t="shared" si="155"/>
        <v>6911855</v>
      </c>
      <c r="BL212" s="66"/>
      <c r="BM212" s="144">
        <f t="shared" si="156"/>
        <v>4.67971333310667E-2</v>
      </c>
      <c r="BN212" s="65">
        <f t="shared" si="157"/>
        <v>568196.13300492615</v>
      </c>
      <c r="BO212" s="66"/>
      <c r="BP212" s="66">
        <f t="shared" si="158"/>
        <v>7492198</v>
      </c>
      <c r="BQ212" s="66"/>
      <c r="BR212" s="435">
        <f t="shared" si="159"/>
        <v>6.4955351095331806E-2</v>
      </c>
      <c r="BS212" s="66"/>
      <c r="BT212" s="75"/>
      <c r="BU212" s="170"/>
      <c r="BV212" s="1"/>
      <c r="BW212" s="61">
        <f t="shared" si="164"/>
        <v>203</v>
      </c>
    </row>
    <row r="213" spans="2:75" x14ac:dyDescent="0.3">
      <c r="B213" s="158">
        <f t="shared" si="163"/>
        <v>44113</v>
      </c>
      <c r="C213" s="61"/>
      <c r="D213" s="17">
        <v>60983</v>
      </c>
      <c r="E213" s="16"/>
      <c r="F213" s="16"/>
      <c r="G213" s="16"/>
      <c r="H213" s="16">
        <f t="shared" ref="H213:H222" si="168">+H212+D213</f>
        <v>8460159</v>
      </c>
      <c r="I213" s="16"/>
      <c r="J213" s="436">
        <f t="shared" ref="J213:J222" si="169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70">+H213/BW213</f>
        <v>41471.367647058825</v>
      </c>
      <c r="P213" s="41"/>
      <c r="Q213" s="17">
        <f t="shared" si="161"/>
        <v>333035</v>
      </c>
      <c r="R213" s="16"/>
      <c r="S213" s="60">
        <f t="shared" si="162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71">+AA212+W213</f>
        <v>221352</v>
      </c>
      <c r="AB213" s="33"/>
      <c r="AC213" s="46">
        <f t="shared" ref="AC213:AC222" si="172">+AA213/H213</f>
        <v>2.6164047271451992E-2</v>
      </c>
      <c r="AD213" s="33"/>
      <c r="AE213" s="33">
        <f t="shared" ref="AE213:AE222" si="173">+AA213/BW213</f>
        <v>1085.0588235294117</v>
      </c>
      <c r="AF213" s="50"/>
      <c r="AG213" s="33">
        <f t="shared" ref="AG213:AG222" si="174">SUM(W207:W213)</f>
        <v>5039</v>
      </c>
      <c r="AH213" s="33">
        <f t="shared" si="167"/>
        <v>815592712.34662843</v>
      </c>
      <c r="AI213" s="213">
        <f t="shared" ref="AI213:AI222" si="175">+(AG213-AG206)/AG206</f>
        <v>-8.8512981904012595E-3</v>
      </c>
      <c r="AJ213" s="50"/>
      <c r="AK213" s="10"/>
      <c r="AL213" s="23">
        <f t="shared" ref="AL213:AL222" si="176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7">+AL213/AP212</f>
        <v>7.7821886641965795E-3</v>
      </c>
      <c r="AS213" s="25"/>
      <c r="AT213" s="25"/>
      <c r="AU213" s="24"/>
      <c r="AV213" s="298">
        <f t="shared" ref="AV213:AV222" si="178">+AP213/H213</f>
        <v>0.59860577088444789</v>
      </c>
      <c r="AW213" s="298"/>
      <c r="AX213" s="24">
        <f t="shared" ref="AX213:AX222" si="179">+AP213/BW213</f>
        <v>24825</v>
      </c>
      <c r="AY213" s="308"/>
      <c r="AZ213" s="10"/>
      <c r="BA213" s="65">
        <f t="shared" ref="BA213:BA222" si="180">+BC213-BC212</f>
        <v>1154320</v>
      </c>
      <c r="BB213" s="66"/>
      <c r="BC213" s="66">
        <v>116498135</v>
      </c>
      <c r="BD213" s="66"/>
      <c r="BE213" s="66">
        <f t="shared" ref="BE213:BE222" si="181">+D213</f>
        <v>60983</v>
      </c>
      <c r="BF213" s="66"/>
      <c r="BG213" s="144">
        <f t="shared" ref="BG213:BG222" si="182">+BE213/BA213</f>
        <v>5.2830237715711416E-2</v>
      </c>
      <c r="BH213" s="66"/>
      <c r="BI213" s="170"/>
      <c r="BJ213" s="66"/>
      <c r="BK213" s="66">
        <f t="shared" ref="BK213:BK222" si="183">SUM(BA207:BA213)</f>
        <v>6927689</v>
      </c>
      <c r="BL213" s="66"/>
      <c r="BM213" s="144">
        <f t="shared" ref="BM213:BM222" si="184">+Q213/BK213</f>
        <v>4.8073029837222774E-2</v>
      </c>
      <c r="BN213" s="65">
        <f t="shared" ref="BN213:BN222" si="185">+BC213/BW213</f>
        <v>571069.28921568627</v>
      </c>
      <c r="BO213" s="66"/>
      <c r="BP213" s="66">
        <f t="shared" ref="BP213:BP222" si="186">+BP212+BE213</f>
        <v>7553181</v>
      </c>
      <c r="BQ213" s="66"/>
      <c r="BR213" s="435">
        <f t="shared" ref="BR213:BR222" si="187">+BP213/BC213</f>
        <v>6.4835209593698651E-2</v>
      </c>
      <c r="BS213" s="66"/>
      <c r="BT213" s="75"/>
      <c r="BU213" s="170"/>
      <c r="BV213" s="1"/>
      <c r="BW213" s="61">
        <f t="shared" si="164"/>
        <v>204</v>
      </c>
    </row>
    <row r="214" spans="2:75" x14ac:dyDescent="0.3">
      <c r="B214" s="158">
        <f t="shared" si="163"/>
        <v>44114</v>
      </c>
      <c r="C214" s="61"/>
      <c r="D214" s="17">
        <v>54235</v>
      </c>
      <c r="E214" s="16"/>
      <c r="F214" s="16"/>
      <c r="G214" s="16"/>
      <c r="H214" s="16">
        <f t="shared" si="168"/>
        <v>8514394</v>
      </c>
      <c r="I214" s="16"/>
      <c r="J214" s="436">
        <f t="shared" si="169"/>
        <v>6.4106360175973055E-3</v>
      </c>
      <c r="K214" s="16"/>
      <c r="L214" s="16"/>
      <c r="M214" s="16"/>
      <c r="N214" s="16">
        <f>SUM(D205:D214)</f>
        <v>486062</v>
      </c>
      <c r="O214" s="16">
        <f t="shared" si="170"/>
        <v>41533.62926829268</v>
      </c>
      <c r="P214" s="41"/>
      <c r="Q214" s="17">
        <f t="shared" si="161"/>
        <v>338345</v>
      </c>
      <c r="R214" s="16"/>
      <c r="S214" s="60">
        <f t="shared" si="162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71"/>
        <v>222075</v>
      </c>
      <c r="AB214" s="33"/>
      <c r="AC214" s="46">
        <f t="shared" si="172"/>
        <v>2.608230251031371E-2</v>
      </c>
      <c r="AD214" s="33"/>
      <c r="AE214" s="33">
        <f t="shared" si="173"/>
        <v>1083.2926829268292</v>
      </c>
      <c r="AF214" s="50"/>
      <c r="AG214" s="33">
        <f t="shared" si="174"/>
        <v>5007</v>
      </c>
      <c r="AH214" s="33">
        <f t="shared" si="167"/>
        <v>849268187.06091416</v>
      </c>
      <c r="AI214" s="213">
        <f t="shared" si="175"/>
        <v>-1.8620148961191688E-2</v>
      </c>
      <c r="AJ214" s="50"/>
      <c r="AK214" s="10"/>
      <c r="AL214" s="23">
        <f t="shared" si="176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7"/>
        <v>5.0435400746401283E-3</v>
      </c>
      <c r="AS214" s="25"/>
      <c r="AT214" s="25"/>
      <c r="AU214" s="24"/>
      <c r="AV214" s="298">
        <f t="shared" si="178"/>
        <v>0.59779263210041722</v>
      </c>
      <c r="AW214" s="298"/>
      <c r="AX214" s="24">
        <f t="shared" si="179"/>
        <v>24828.497560975611</v>
      </c>
      <c r="AY214" s="308"/>
      <c r="AZ214" s="10"/>
      <c r="BA214" s="65">
        <f t="shared" si="180"/>
        <v>1103287</v>
      </c>
      <c r="BB214" s="66"/>
      <c r="BC214" s="66">
        <v>117601422</v>
      </c>
      <c r="BD214" s="66"/>
      <c r="BE214" s="66">
        <f t="shared" si="181"/>
        <v>54235</v>
      </c>
      <c r="BF214" s="66"/>
      <c r="BG214" s="144">
        <f t="shared" si="182"/>
        <v>4.9157653448286799E-2</v>
      </c>
      <c r="BH214" s="66"/>
      <c r="BI214" s="170"/>
      <c r="BJ214" s="66"/>
      <c r="BK214" s="66">
        <f t="shared" si="183"/>
        <v>7075139</v>
      </c>
      <c r="BL214" s="66"/>
      <c r="BM214" s="144">
        <f t="shared" si="184"/>
        <v>4.7821675305601767E-2</v>
      </c>
      <c r="BN214" s="65">
        <f t="shared" si="185"/>
        <v>573665.47317073168</v>
      </c>
      <c r="BO214" s="66"/>
      <c r="BP214" s="66">
        <f t="shared" si="186"/>
        <v>7607416</v>
      </c>
      <c r="BQ214" s="66"/>
      <c r="BR214" s="435">
        <f t="shared" si="187"/>
        <v>6.4688129366326882E-2</v>
      </c>
      <c r="BS214" s="66"/>
      <c r="BT214" s="75"/>
      <c r="BU214" s="170"/>
      <c r="BV214" s="1"/>
      <c r="BW214" s="61">
        <f t="shared" si="164"/>
        <v>205</v>
      </c>
    </row>
    <row r="215" spans="2:75" x14ac:dyDescent="0.3">
      <c r="B215" s="347">
        <f t="shared" si="163"/>
        <v>44115</v>
      </c>
      <c r="C215" s="61"/>
      <c r="D215" s="17">
        <v>41935</v>
      </c>
      <c r="E215" s="16"/>
      <c r="F215" s="16"/>
      <c r="G215" s="16"/>
      <c r="H215" s="16">
        <f t="shared" si="168"/>
        <v>8556329</v>
      </c>
      <c r="I215" s="16"/>
      <c r="J215" s="436">
        <f t="shared" si="169"/>
        <v>4.9251890387031656E-3</v>
      </c>
      <c r="K215" s="16"/>
      <c r="L215" s="16"/>
      <c r="M215" s="16"/>
      <c r="N215" s="426">
        <f t="shared" ref="N215:N222" si="188">SUM(D209:D215)</f>
        <v>346214</v>
      </c>
      <c r="O215" s="16">
        <f t="shared" si="170"/>
        <v>41535.577669902916</v>
      </c>
      <c r="P215" s="41"/>
      <c r="Q215" s="17">
        <f t="shared" si="161"/>
        <v>346214</v>
      </c>
      <c r="R215" s="16"/>
      <c r="S215" s="60">
        <f t="shared" si="162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71"/>
        <v>222400</v>
      </c>
      <c r="AB215" s="33"/>
      <c r="AC215" s="46">
        <f t="shared" si="172"/>
        <v>2.5992455409323319E-2</v>
      </c>
      <c r="AD215" s="33"/>
      <c r="AE215" s="33">
        <f t="shared" si="173"/>
        <v>1079.6116504854369</v>
      </c>
      <c r="AF215" s="50"/>
      <c r="AG215" s="33">
        <f t="shared" si="174"/>
        <v>5000</v>
      </c>
      <c r="AH215" s="33">
        <f t="shared" si="167"/>
        <v>900078729.91805696</v>
      </c>
      <c r="AI215" s="213">
        <f t="shared" si="175"/>
        <v>-3.0632027917797598E-2</v>
      </c>
      <c r="AJ215" s="50"/>
      <c r="AK215" s="10"/>
      <c r="AL215" s="23">
        <f t="shared" si="176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7"/>
        <v>7.5287209308265365E-3</v>
      </c>
      <c r="AS215" s="25"/>
      <c r="AT215" s="25"/>
      <c r="AU215" s="24"/>
      <c r="AV215" s="298">
        <f t="shared" si="178"/>
        <v>0.59934137642439878</v>
      </c>
      <c r="AW215" s="298"/>
      <c r="AX215" s="24">
        <f t="shared" si="179"/>
        <v>24893.990291262136</v>
      </c>
      <c r="AY215" s="308"/>
      <c r="AZ215" s="348"/>
      <c r="BA215" s="65">
        <f t="shared" si="180"/>
        <v>885476</v>
      </c>
      <c r="BB215" s="66"/>
      <c r="BC215" s="66">
        <v>118486898</v>
      </c>
      <c r="BD215" s="66"/>
      <c r="BE215" s="66">
        <f t="shared" si="181"/>
        <v>41935</v>
      </c>
      <c r="BF215" s="66"/>
      <c r="BG215" s="144">
        <f t="shared" si="182"/>
        <v>4.7358708762292825E-2</v>
      </c>
      <c r="BH215" s="66"/>
      <c r="BI215" s="170"/>
      <c r="BJ215" s="66"/>
      <c r="BK215" s="66">
        <f t="shared" si="183"/>
        <v>7016632</v>
      </c>
      <c r="BL215" s="66"/>
      <c r="BM215" s="144">
        <f t="shared" si="184"/>
        <v>4.9341906487328967E-2</v>
      </c>
      <c r="BN215" s="65">
        <f t="shared" si="185"/>
        <v>575179.11650485441</v>
      </c>
      <c r="BO215" s="66"/>
      <c r="BP215" s="66">
        <f t="shared" si="186"/>
        <v>7649351</v>
      </c>
      <c r="BQ215" s="66"/>
      <c r="BR215" s="435">
        <f t="shared" si="187"/>
        <v>6.4558623182117567E-2</v>
      </c>
      <c r="BS215" s="66"/>
      <c r="BT215" s="75"/>
      <c r="BU215" s="170"/>
      <c r="BV215" s="1"/>
      <c r="BW215" s="61">
        <f t="shared" si="164"/>
        <v>206</v>
      </c>
    </row>
    <row r="216" spans="2:75" x14ac:dyDescent="0.3">
      <c r="B216" s="158">
        <f t="shared" si="163"/>
        <v>44116</v>
      </c>
      <c r="C216" s="61"/>
      <c r="D216" s="17">
        <v>45791</v>
      </c>
      <c r="E216" s="16"/>
      <c r="F216" s="16"/>
      <c r="G216" s="16"/>
      <c r="H216" s="16">
        <f t="shared" si="168"/>
        <v>8602120</v>
      </c>
      <c r="I216" s="16"/>
      <c r="J216" s="436">
        <f t="shared" si="169"/>
        <v>5.3517109966201631E-3</v>
      </c>
      <c r="K216" s="16"/>
      <c r="L216" s="16"/>
      <c r="M216" s="16"/>
      <c r="N216" s="16">
        <f t="shared" si="188"/>
        <v>354288</v>
      </c>
      <c r="O216" s="16">
        <f t="shared" si="170"/>
        <v>41556.135265700483</v>
      </c>
      <c r="P216" s="41"/>
      <c r="Q216" s="17">
        <f t="shared" si="161"/>
        <v>354288</v>
      </c>
      <c r="R216" s="16"/>
      <c r="S216" s="60">
        <f t="shared" si="162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71"/>
        <v>222716</v>
      </c>
      <c r="AB216" s="33"/>
      <c r="AC216" s="46">
        <f t="shared" si="172"/>
        <v>2.5890826912435539E-2</v>
      </c>
      <c r="AD216" s="33"/>
      <c r="AE216" s="33">
        <f t="shared" si="173"/>
        <v>1075.9227053140096</v>
      </c>
      <c r="AF216" s="50"/>
      <c r="AG216" s="33">
        <f t="shared" si="174"/>
        <v>4968</v>
      </c>
      <c r="AH216" s="33">
        <f t="shared" si="167"/>
        <v>968610876.4894855</v>
      </c>
      <c r="AI216" s="213">
        <f t="shared" si="175"/>
        <v>-3.5527082119976704E-2</v>
      </c>
      <c r="AJ216" s="50"/>
      <c r="AK216" s="10"/>
      <c r="AL216" s="23">
        <f t="shared" si="176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7"/>
        <v>1.1008427580875954E-2</v>
      </c>
      <c r="AS216" s="25"/>
      <c r="AT216" s="25"/>
      <c r="AU216" s="24"/>
      <c r="AV216" s="298">
        <f t="shared" si="178"/>
        <v>0.60271363338339856</v>
      </c>
      <c r="AW216" s="298"/>
      <c r="AX216" s="24">
        <f t="shared" si="179"/>
        <v>25046.44927536232</v>
      </c>
      <c r="AY216" s="308"/>
      <c r="AZ216" s="10"/>
      <c r="BA216" s="65">
        <f t="shared" si="180"/>
        <v>1010726</v>
      </c>
      <c r="BB216" s="66"/>
      <c r="BC216" s="66">
        <v>119497624</v>
      </c>
      <c r="BD216" s="66"/>
      <c r="BE216" s="66">
        <f t="shared" si="181"/>
        <v>45791</v>
      </c>
      <c r="BF216" s="66"/>
      <c r="BG216" s="144">
        <f t="shared" si="182"/>
        <v>4.5305057948444978E-2</v>
      </c>
      <c r="BH216" s="66"/>
      <c r="BI216" s="170"/>
      <c r="BJ216" s="66"/>
      <c r="BK216" s="66">
        <f t="shared" si="183"/>
        <v>7125450</v>
      </c>
      <c r="BL216" s="66"/>
      <c r="BM216" s="144">
        <f t="shared" si="184"/>
        <v>4.9721491274235315E-2</v>
      </c>
      <c r="BN216" s="65">
        <f t="shared" si="185"/>
        <v>577283.20772946859</v>
      </c>
      <c r="BO216" s="66"/>
      <c r="BP216" s="66">
        <f t="shared" si="186"/>
        <v>7695142</v>
      </c>
      <c r="BQ216" s="66"/>
      <c r="BR216" s="435">
        <f t="shared" si="187"/>
        <v>6.4395774095056479E-2</v>
      </c>
      <c r="BS216" s="66"/>
      <c r="BT216" s="75"/>
      <c r="BU216" s="170"/>
      <c r="BV216" s="1"/>
      <c r="BW216" s="61">
        <f t="shared" ref="BW216:BW470" si="189">+BW215+1</f>
        <v>207</v>
      </c>
    </row>
    <row r="217" spans="2:75" x14ac:dyDescent="0.3">
      <c r="B217" s="158">
        <f t="shared" si="163"/>
        <v>44117</v>
      </c>
      <c r="C217" s="61"/>
      <c r="D217" s="17">
        <v>51534</v>
      </c>
      <c r="E217" s="16"/>
      <c r="F217" s="16"/>
      <c r="G217" s="16"/>
      <c r="H217" s="16">
        <f t="shared" si="168"/>
        <v>8653654</v>
      </c>
      <c r="I217" s="16"/>
      <c r="J217" s="436">
        <f t="shared" si="169"/>
        <v>5.9908487675131242E-3</v>
      </c>
      <c r="K217" s="16"/>
      <c r="L217" s="16"/>
      <c r="M217" s="16"/>
      <c r="N217" s="16">
        <f t="shared" si="188"/>
        <v>361154</v>
      </c>
      <c r="O217" s="16">
        <f t="shared" si="170"/>
        <v>41604.105769230766</v>
      </c>
      <c r="P217" s="41"/>
      <c r="Q217" s="17">
        <f t="shared" si="161"/>
        <v>361154</v>
      </c>
      <c r="R217" s="16"/>
      <c r="S217" s="60">
        <f t="shared" si="162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71"/>
        <v>223559</v>
      </c>
      <c r="AB217" s="33"/>
      <c r="AC217" s="46">
        <f t="shared" si="172"/>
        <v>2.5834058075351753E-2</v>
      </c>
      <c r="AD217" s="33"/>
      <c r="AE217" s="33">
        <f t="shared" si="173"/>
        <v>1074.8028846153845</v>
      </c>
      <c r="AF217" s="50"/>
      <c r="AG217" s="33">
        <f t="shared" si="174"/>
        <v>5003</v>
      </c>
      <c r="AH217" s="33">
        <f>SUM(D188:D626)</f>
        <v>968579019.4894855</v>
      </c>
      <c r="AI217" s="213">
        <f t="shared" si="175"/>
        <v>4.2151746286631878E-3</v>
      </c>
      <c r="AJ217" s="50"/>
      <c r="AK217" s="10"/>
      <c r="AL217" s="23">
        <f t="shared" si="176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7"/>
        <v>8.0646296783849908E-3</v>
      </c>
      <c r="AS217" s="25"/>
      <c r="AT217" s="25"/>
      <c r="AU217" s="24"/>
      <c r="AV217" s="298">
        <f t="shared" si="178"/>
        <v>0.60395608606491546</v>
      </c>
      <c r="AW217" s="298"/>
      <c r="AX217" s="24">
        <f t="shared" si="179"/>
        <v>25127.052884615383</v>
      </c>
      <c r="AY217" s="308"/>
      <c r="AZ217" s="10"/>
      <c r="BA217" s="65">
        <f t="shared" si="180"/>
        <v>1025948</v>
      </c>
      <c r="BB217" s="66"/>
      <c r="BC217" s="66">
        <v>120523572</v>
      </c>
      <c r="BD217" s="66"/>
      <c r="BE217" s="66">
        <f t="shared" si="181"/>
        <v>51534</v>
      </c>
      <c r="BF217" s="66"/>
      <c r="BG217" s="144">
        <f t="shared" si="182"/>
        <v>5.0230615976638193E-2</v>
      </c>
      <c r="BH217" s="66"/>
      <c r="BI217" s="170"/>
      <c r="BJ217" s="66"/>
      <c r="BK217" s="66">
        <f t="shared" si="183"/>
        <v>7204254</v>
      </c>
      <c r="BL217" s="66"/>
      <c r="BM217" s="144">
        <f t="shared" si="184"/>
        <v>5.0130658913469739E-2</v>
      </c>
      <c r="BN217" s="65">
        <f t="shared" si="185"/>
        <v>579440.25</v>
      </c>
      <c r="BO217" s="66"/>
      <c r="BP217" s="66">
        <f t="shared" si="186"/>
        <v>7746676</v>
      </c>
      <c r="BQ217" s="66"/>
      <c r="BR217" s="435">
        <f t="shared" si="187"/>
        <v>6.4275194233373703E-2</v>
      </c>
      <c r="BS217" s="66"/>
      <c r="BT217" s="75"/>
      <c r="BU217" s="170"/>
      <c r="BV217" s="1"/>
      <c r="BW217" s="61">
        <f t="shared" si="189"/>
        <v>208</v>
      </c>
    </row>
    <row r="218" spans="2:75" x14ac:dyDescent="0.3">
      <c r="B218" s="158">
        <f t="shared" si="163"/>
        <v>44118</v>
      </c>
      <c r="C218" s="61"/>
      <c r="D218" s="17">
        <v>59693</v>
      </c>
      <c r="E218" s="16"/>
      <c r="F218" s="16"/>
      <c r="G218" s="16"/>
      <c r="H218" s="16">
        <f t="shared" si="168"/>
        <v>8713347</v>
      </c>
      <c r="I218" s="16"/>
      <c r="J218" s="436">
        <f t="shared" si="169"/>
        <v>6.8980109442785672E-3</v>
      </c>
      <c r="K218" s="16"/>
      <c r="L218" s="16"/>
      <c r="M218" s="16"/>
      <c r="N218" s="16">
        <f t="shared" si="188"/>
        <v>371489</v>
      </c>
      <c r="O218" s="16">
        <f t="shared" si="170"/>
        <v>41690.655502392343</v>
      </c>
      <c r="P218" s="41"/>
      <c r="Q218" s="17">
        <f t="shared" si="161"/>
        <v>371489</v>
      </c>
      <c r="R218" s="16"/>
      <c r="S218" s="60">
        <f t="shared" si="162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71"/>
        <v>224529</v>
      </c>
      <c r="AB218" s="33"/>
      <c r="AC218" s="46">
        <f t="shared" si="172"/>
        <v>2.5768398756528348E-2</v>
      </c>
      <c r="AD218" s="33"/>
      <c r="AE218" s="33">
        <f t="shared" si="173"/>
        <v>1074.3014354066986</v>
      </c>
      <c r="AF218" s="50"/>
      <c r="AG218" s="33">
        <f t="shared" si="174"/>
        <v>5043</v>
      </c>
      <c r="AH218" s="33">
        <f>SUM(D189:D627)</f>
        <v>1146126223.060914</v>
      </c>
      <c r="AI218" s="213">
        <f t="shared" si="175"/>
        <v>1.7349203147064757E-2</v>
      </c>
      <c r="AJ218" s="50"/>
      <c r="AK218" s="10"/>
      <c r="AL218" s="23">
        <f t="shared" si="176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7"/>
        <v>1.0011811128329162E-2</v>
      </c>
      <c r="AS218" s="25"/>
      <c r="AT218" s="25"/>
      <c r="AU218" s="24"/>
      <c r="AV218" s="298">
        <f t="shared" si="178"/>
        <v>0.60582380111798595</v>
      </c>
      <c r="AW218" s="298"/>
      <c r="AX218" s="24">
        <f t="shared" si="179"/>
        <v>25257.191387559807</v>
      </c>
      <c r="AY218" s="308"/>
      <c r="AZ218" s="10"/>
      <c r="BA218" s="65">
        <f t="shared" si="180"/>
        <v>1043566</v>
      </c>
      <c r="BB218" s="66"/>
      <c r="BC218" s="66">
        <v>121567138</v>
      </c>
      <c r="BD218" s="66"/>
      <c r="BE218" s="66">
        <f t="shared" si="181"/>
        <v>59693</v>
      </c>
      <c r="BF218" s="66"/>
      <c r="BG218" s="144">
        <f t="shared" si="182"/>
        <v>5.7200982017428702E-2</v>
      </c>
      <c r="BH218" s="66"/>
      <c r="BI218" s="170"/>
      <c r="BJ218" s="66"/>
      <c r="BK218" s="66">
        <f t="shared" si="183"/>
        <v>7408289</v>
      </c>
      <c r="BL218" s="66"/>
      <c r="BM218" s="144">
        <f t="shared" si="184"/>
        <v>5.0145046987232815E-2</v>
      </c>
      <c r="BN218" s="65">
        <f t="shared" si="185"/>
        <v>581660.94736842101</v>
      </c>
      <c r="BO218" s="66"/>
      <c r="BP218" s="66">
        <f t="shared" si="186"/>
        <v>7806369</v>
      </c>
      <c r="BQ218" s="66"/>
      <c r="BR218" s="435">
        <f t="shared" si="187"/>
        <v>6.4214467235380671E-2</v>
      </c>
      <c r="BS218" s="66"/>
      <c r="BT218" s="75"/>
      <c r="BU218" s="170"/>
      <c r="BV218" s="1"/>
      <c r="BW218" s="61">
        <f t="shared" si="189"/>
        <v>209</v>
      </c>
    </row>
    <row r="219" spans="2:75" x14ac:dyDescent="0.3">
      <c r="B219" s="158">
        <f t="shared" si="163"/>
        <v>44119</v>
      </c>
      <c r="C219" s="61"/>
      <c r="D219" s="17">
        <v>66129</v>
      </c>
      <c r="E219" s="16"/>
      <c r="F219" s="16"/>
      <c r="G219" s="16"/>
      <c r="H219" s="16">
        <f t="shared" si="168"/>
        <v>8779476</v>
      </c>
      <c r="I219" s="16"/>
      <c r="J219" s="436">
        <f t="shared" si="169"/>
        <v>7.589391309676982E-3</v>
      </c>
      <c r="K219" s="16"/>
      <c r="L219" s="16"/>
      <c r="M219" s="16"/>
      <c r="N219" s="16">
        <f t="shared" si="188"/>
        <v>380300</v>
      </c>
      <c r="O219" s="16">
        <f t="shared" si="170"/>
        <v>41807.028571428571</v>
      </c>
      <c r="P219" s="41"/>
      <c r="Q219" s="17">
        <f t="shared" si="161"/>
        <v>380300</v>
      </c>
      <c r="R219" s="16"/>
      <c r="S219" s="60">
        <f t="shared" si="162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71"/>
        <v>225403</v>
      </c>
      <c r="AB219" s="33"/>
      <c r="AC219" s="46">
        <f t="shared" si="172"/>
        <v>2.5673855706194765E-2</v>
      </c>
      <c r="AD219" s="33"/>
      <c r="AE219" s="33">
        <f t="shared" si="173"/>
        <v>1073.347619047619</v>
      </c>
      <c r="AF219" s="50"/>
      <c r="AG219" s="33">
        <f t="shared" si="174"/>
        <v>4960</v>
      </c>
      <c r="AH219" s="33">
        <f t="shared" ref="AH219:AH224" si="190">SUM(D190:D631)</f>
        <v>1146089776.060914</v>
      </c>
      <c r="AI219" s="213">
        <f t="shared" si="175"/>
        <v>-6.8081698037645178E-3</v>
      </c>
      <c r="AJ219" s="50"/>
      <c r="AK219" s="10"/>
      <c r="AL219" s="23">
        <f t="shared" si="176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7"/>
        <v>7.8401092076102064E-3</v>
      </c>
      <c r="AS219" s="25"/>
      <c r="AT219" s="25"/>
      <c r="AU219" s="24"/>
      <c r="AV219" s="298">
        <f t="shared" si="178"/>
        <v>0.60597454791151539</v>
      </c>
      <c r="AW219" s="298"/>
      <c r="AX219" s="24">
        <f t="shared" si="179"/>
        <v>25333.995238095238</v>
      </c>
      <c r="AY219" s="308"/>
      <c r="AZ219" s="10"/>
      <c r="BA219" s="65">
        <f t="shared" si="180"/>
        <v>1128210</v>
      </c>
      <c r="BB219" s="66"/>
      <c r="BC219" s="66">
        <v>122695348</v>
      </c>
      <c r="BD219" s="66"/>
      <c r="BE219" s="66">
        <f t="shared" si="181"/>
        <v>66129</v>
      </c>
      <c r="BF219" s="66"/>
      <c r="BG219" s="144">
        <f t="shared" si="182"/>
        <v>5.8614087802802667E-2</v>
      </c>
      <c r="BH219" s="66"/>
      <c r="BI219" s="170"/>
      <c r="BJ219" s="66"/>
      <c r="BK219" s="66">
        <f t="shared" si="183"/>
        <v>7351533</v>
      </c>
      <c r="BL219" s="66"/>
      <c r="BM219" s="144">
        <f t="shared" si="184"/>
        <v>5.1730707051168785E-2</v>
      </c>
      <c r="BN219" s="65">
        <f t="shared" si="185"/>
        <v>584263.56190476194</v>
      </c>
      <c r="BO219" s="66"/>
      <c r="BP219" s="66">
        <f t="shared" si="186"/>
        <v>7872498</v>
      </c>
      <c r="BQ219" s="66"/>
      <c r="BR219" s="435">
        <f t="shared" si="187"/>
        <v>6.4162970547179995E-2</v>
      </c>
      <c r="BS219" s="66"/>
      <c r="BT219" s="75"/>
      <c r="BU219" s="170"/>
      <c r="BV219" s="1"/>
      <c r="BW219" s="61">
        <f t="shared" si="189"/>
        <v>210</v>
      </c>
    </row>
    <row r="220" spans="2:75" x14ac:dyDescent="0.3">
      <c r="B220" s="158">
        <f t="shared" si="163"/>
        <v>44120</v>
      </c>
      <c r="C220" s="61"/>
      <c r="D220" s="17">
        <v>71687</v>
      </c>
      <c r="E220" s="16"/>
      <c r="F220" s="16"/>
      <c r="G220" s="16"/>
      <c r="H220" s="16">
        <f t="shared" si="168"/>
        <v>8851163</v>
      </c>
      <c r="I220" s="16"/>
      <c r="J220" s="436">
        <f t="shared" si="169"/>
        <v>8.1652936917875289E-3</v>
      </c>
      <c r="K220" s="16"/>
      <c r="L220" s="16"/>
      <c r="M220" s="16"/>
      <c r="N220" s="16">
        <f t="shared" si="188"/>
        <v>391004</v>
      </c>
      <c r="O220" s="16">
        <f t="shared" si="170"/>
        <v>41948.639810426539</v>
      </c>
      <c r="P220" s="41"/>
      <c r="Q220" s="17">
        <f t="shared" si="161"/>
        <v>391004</v>
      </c>
      <c r="R220" s="16"/>
      <c r="S220" s="60">
        <f t="shared" si="162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71"/>
        <v>226331</v>
      </c>
      <c r="AB220" s="33"/>
      <c r="AC220" s="46">
        <f t="shared" si="172"/>
        <v>2.5570763977569952E-2</v>
      </c>
      <c r="AD220" s="33"/>
      <c r="AE220" s="33">
        <f t="shared" si="173"/>
        <v>1072.6587677725117</v>
      </c>
      <c r="AF220" s="50"/>
      <c r="AG220" s="33">
        <f t="shared" si="174"/>
        <v>4979</v>
      </c>
      <c r="AH220" s="33">
        <f t="shared" si="190"/>
        <v>1146049622.060914</v>
      </c>
      <c r="AI220" s="213">
        <f t="shared" si="175"/>
        <v>-1.1907124429450288E-2</v>
      </c>
      <c r="AJ220" s="50"/>
      <c r="AK220" s="10"/>
      <c r="AL220" s="23">
        <f t="shared" si="176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7"/>
        <v>1.4146622860793675E-2</v>
      </c>
      <c r="AS220" s="25"/>
      <c r="AT220" s="25"/>
      <c r="AU220" s="24"/>
      <c r="AV220" s="298">
        <f t="shared" si="178"/>
        <v>0.60956972546997501</v>
      </c>
      <c r="AW220" s="298"/>
      <c r="AX220" s="24">
        <f t="shared" si="179"/>
        <v>25570.620853080567</v>
      </c>
      <c r="AY220" s="308"/>
      <c r="AZ220" s="10"/>
      <c r="BA220" s="65">
        <f t="shared" si="180"/>
        <v>1041099</v>
      </c>
      <c r="BB220" s="66"/>
      <c r="BC220" s="66">
        <v>123736447</v>
      </c>
      <c r="BD220" s="66"/>
      <c r="BE220" s="66">
        <f t="shared" si="181"/>
        <v>71687</v>
      </c>
      <c r="BF220" s="66"/>
      <c r="BG220" s="144">
        <f t="shared" si="182"/>
        <v>6.885704433488074E-2</v>
      </c>
      <c r="BH220" s="66"/>
      <c r="BI220" s="170"/>
      <c r="BJ220" s="66"/>
      <c r="BK220" s="66">
        <f t="shared" si="183"/>
        <v>7238312</v>
      </c>
      <c r="BL220" s="66"/>
      <c r="BM220" s="144">
        <f t="shared" si="184"/>
        <v>5.40186717566195E-2</v>
      </c>
      <c r="BN220" s="65">
        <f t="shared" si="185"/>
        <v>586428.65876777249</v>
      </c>
      <c r="BO220" s="66"/>
      <c r="BP220" s="66">
        <f t="shared" si="186"/>
        <v>7944185</v>
      </c>
      <c r="BQ220" s="66"/>
      <c r="BR220" s="435">
        <f t="shared" si="187"/>
        <v>6.4202465745602025E-2</v>
      </c>
      <c r="BS220" s="66"/>
      <c r="BT220" s="75"/>
      <c r="BU220" s="170"/>
      <c r="BV220" s="1"/>
      <c r="BW220" s="61">
        <f t="shared" si="189"/>
        <v>211</v>
      </c>
    </row>
    <row r="221" spans="2:75" x14ac:dyDescent="0.3">
      <c r="B221" s="158">
        <f t="shared" si="163"/>
        <v>44121</v>
      </c>
      <c r="C221" s="61"/>
      <c r="D221" s="17">
        <v>54232</v>
      </c>
      <c r="E221" s="16"/>
      <c r="F221" s="16"/>
      <c r="G221" s="16"/>
      <c r="H221" s="16">
        <f t="shared" si="168"/>
        <v>8905395</v>
      </c>
      <c r="I221" s="16"/>
      <c r="J221" s="436">
        <f t="shared" si="169"/>
        <v>6.1271044268419866E-3</v>
      </c>
      <c r="K221" s="16"/>
      <c r="L221" s="16"/>
      <c r="M221" s="16"/>
      <c r="N221" s="16">
        <f t="shared" si="188"/>
        <v>391001</v>
      </c>
      <c r="O221" s="16">
        <f t="shared" si="170"/>
        <v>42006.580188679247</v>
      </c>
      <c r="P221" s="41"/>
      <c r="Q221" s="17">
        <f t="shared" si="161"/>
        <v>391001</v>
      </c>
      <c r="R221" s="16"/>
      <c r="S221" s="60">
        <f t="shared" si="162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71"/>
        <v>226969</v>
      </c>
      <c r="AB221" s="33"/>
      <c r="AC221" s="46">
        <f t="shared" si="172"/>
        <v>2.5486685318281785E-2</v>
      </c>
      <c r="AD221" s="33"/>
      <c r="AE221" s="33">
        <f t="shared" si="173"/>
        <v>1070.6084905660377</v>
      </c>
      <c r="AF221" s="50"/>
      <c r="AG221" s="33">
        <f t="shared" si="174"/>
        <v>4894</v>
      </c>
      <c r="AH221" s="33">
        <f t="shared" si="190"/>
        <v>1146003327.060914</v>
      </c>
      <c r="AI221" s="213">
        <f t="shared" si="175"/>
        <v>-2.25684042340723E-2</v>
      </c>
      <c r="AJ221" s="50"/>
      <c r="AK221" s="10"/>
      <c r="AL221" s="23">
        <f t="shared" si="176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7"/>
        <v>6.8189556253557427E-3</v>
      </c>
      <c r="AS221" s="25"/>
      <c r="AT221" s="25"/>
      <c r="AU221" s="24"/>
      <c r="AV221" s="298">
        <f t="shared" si="178"/>
        <v>0.60998888875788215</v>
      </c>
      <c r="AW221" s="298"/>
      <c r="AX221" s="24">
        <f t="shared" si="179"/>
        <v>25623.547169811322</v>
      </c>
      <c r="AY221" s="308"/>
      <c r="AZ221" s="10"/>
      <c r="BA221" s="65">
        <f t="shared" si="180"/>
        <v>1056221</v>
      </c>
      <c r="BB221" s="66"/>
      <c r="BC221" s="66">
        <v>124792668</v>
      </c>
      <c r="BD221" s="66"/>
      <c r="BE221" s="66">
        <f t="shared" si="181"/>
        <v>54232</v>
      </c>
      <c r="BF221" s="66"/>
      <c r="BG221" s="144">
        <f t="shared" si="182"/>
        <v>5.1345315042969228E-2</v>
      </c>
      <c r="BH221" s="66"/>
      <c r="BI221" s="170"/>
      <c r="BJ221" s="66"/>
      <c r="BK221" s="66">
        <f t="shared" si="183"/>
        <v>7191246</v>
      </c>
      <c r="BL221" s="66"/>
      <c r="BM221" s="144">
        <f t="shared" si="184"/>
        <v>5.4371801493093133E-2</v>
      </c>
      <c r="BN221" s="65">
        <f t="shared" si="185"/>
        <v>588644.66037735844</v>
      </c>
      <c r="BO221" s="66"/>
      <c r="BP221" s="66">
        <f t="shared" si="186"/>
        <v>7998417</v>
      </c>
      <c r="BQ221" s="66"/>
      <c r="BR221" s="435">
        <f t="shared" si="187"/>
        <v>6.4093645309354227E-2</v>
      </c>
      <c r="BS221" s="66"/>
      <c r="BT221" s="75"/>
      <c r="BU221" s="170"/>
      <c r="BV221" s="1"/>
      <c r="BW221" s="61">
        <f t="shared" si="189"/>
        <v>212</v>
      </c>
    </row>
    <row r="222" spans="2:75" x14ac:dyDescent="0.3">
      <c r="B222" s="347">
        <f t="shared" si="163"/>
        <v>44122</v>
      </c>
      <c r="C222" s="61"/>
      <c r="D222" s="17">
        <v>44941</v>
      </c>
      <c r="E222" s="16"/>
      <c r="F222" s="16"/>
      <c r="G222" s="16"/>
      <c r="H222" s="16">
        <f t="shared" si="168"/>
        <v>8950336</v>
      </c>
      <c r="I222" s="16"/>
      <c r="J222" s="436">
        <f t="shared" si="169"/>
        <v>5.0464914807260095E-3</v>
      </c>
      <c r="K222" s="16"/>
      <c r="L222" s="16"/>
      <c r="M222" s="16"/>
      <c r="N222" s="16">
        <f t="shared" si="188"/>
        <v>394007</v>
      </c>
      <c r="O222" s="16">
        <f t="shared" si="170"/>
        <v>42020.356807511736</v>
      </c>
      <c r="P222" s="41"/>
      <c r="Q222" s="17">
        <f t="shared" si="161"/>
        <v>394007</v>
      </c>
      <c r="R222" s="16"/>
      <c r="S222" s="60">
        <f t="shared" si="162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71"/>
        <v>227417</v>
      </c>
      <c r="AB222" s="33"/>
      <c r="AC222" s="46">
        <f t="shared" si="172"/>
        <v>2.5408766777023788E-2</v>
      </c>
      <c r="AD222" s="33"/>
      <c r="AE222" s="33">
        <f t="shared" si="173"/>
        <v>1067.6854460093896</v>
      </c>
      <c r="AF222" s="50"/>
      <c r="AG222" s="33">
        <f t="shared" si="174"/>
        <v>5017</v>
      </c>
      <c r="AH222" s="33">
        <f t="shared" si="190"/>
        <v>1145951982.060914</v>
      </c>
      <c r="AI222" s="213">
        <f t="shared" si="175"/>
        <v>3.3999999999999998E-3</v>
      </c>
      <c r="AJ222" s="50"/>
      <c r="AK222" s="10"/>
      <c r="AL222" s="23">
        <f t="shared" si="176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7"/>
        <v>4.6927649096350057E-3</v>
      </c>
      <c r="AS222" s="25"/>
      <c r="AT222" s="25"/>
      <c r="AU222" s="24"/>
      <c r="AV222" s="298">
        <f t="shared" si="178"/>
        <v>0.60977420289026019</v>
      </c>
      <c r="AW222" s="298"/>
      <c r="AX222" s="24">
        <f t="shared" si="179"/>
        <v>25622.929577464787</v>
      </c>
      <c r="AY222" s="308"/>
      <c r="AZ222" s="348"/>
      <c r="BA222" s="65">
        <f t="shared" si="180"/>
        <v>891213</v>
      </c>
      <c r="BB222" s="66"/>
      <c r="BC222" s="66">
        <v>125683881</v>
      </c>
      <c r="BD222" s="66"/>
      <c r="BE222" s="66">
        <f t="shared" si="181"/>
        <v>44941</v>
      </c>
      <c r="BF222" s="66"/>
      <c r="BG222" s="144">
        <f t="shared" si="182"/>
        <v>5.0426777885870154E-2</v>
      </c>
      <c r="BH222" s="66"/>
      <c r="BI222" s="170"/>
      <c r="BJ222" s="66"/>
      <c r="BK222" s="66">
        <f t="shared" si="183"/>
        <v>7196983</v>
      </c>
      <c r="BL222" s="66"/>
      <c r="BM222" s="144">
        <f t="shared" si="184"/>
        <v>5.4746134595565946E-2</v>
      </c>
      <c r="BN222" s="65">
        <f t="shared" si="185"/>
        <v>590065.1690140845</v>
      </c>
      <c r="BO222" s="66"/>
      <c r="BP222" s="66">
        <f t="shared" si="186"/>
        <v>8043358</v>
      </c>
      <c r="BQ222" s="66"/>
      <c r="BR222" s="435">
        <f t="shared" si="187"/>
        <v>6.39967347921091E-2</v>
      </c>
      <c r="BS222" s="66"/>
      <c r="BT222" s="75"/>
      <c r="BU222" s="170"/>
      <c r="BV222" s="1"/>
      <c r="BW222" s="61">
        <f t="shared" si="189"/>
        <v>213</v>
      </c>
    </row>
    <row r="223" spans="2:75" x14ac:dyDescent="0.3">
      <c r="B223" s="158">
        <f t="shared" si="163"/>
        <v>44123</v>
      </c>
      <c r="C223" s="61"/>
      <c r="D223" s="17">
        <v>57327</v>
      </c>
      <c r="E223" s="16"/>
      <c r="F223" s="16"/>
      <c r="G223" s="16"/>
      <c r="H223" s="16">
        <f t="shared" ref="H223:H229" si="191">+H222+D223</f>
        <v>9007663</v>
      </c>
      <c r="I223" s="16"/>
      <c r="J223" s="436">
        <f t="shared" ref="J223:J229" si="192">+D223/H222</f>
        <v>6.4050109403714006E-3</v>
      </c>
      <c r="K223" s="16"/>
      <c r="L223" s="16"/>
      <c r="M223" s="16"/>
      <c r="N223" s="16">
        <f t="shared" ref="N223:N229" si="193">SUM(D217:D223)</f>
        <v>405543</v>
      </c>
      <c r="O223" s="16">
        <f t="shared" ref="O223:O229" si="194">+H223/BW223</f>
        <v>42091.883177570096</v>
      </c>
      <c r="P223" s="41"/>
      <c r="Q223" s="17">
        <f t="shared" si="161"/>
        <v>405543</v>
      </c>
      <c r="R223" s="16"/>
      <c r="S223" s="60">
        <f t="shared" si="162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5">+AA222+W223</f>
        <v>227859</v>
      </c>
      <c r="AB223" s="33"/>
      <c r="AC223" s="46">
        <f t="shared" ref="AC223:AC229" si="196">+AA223/H223</f>
        <v>2.5296128418658647E-2</v>
      </c>
      <c r="AD223" s="33"/>
      <c r="AE223" s="33">
        <f t="shared" ref="AE223:AE229" si="197">+AA223/BW223</f>
        <v>1064.7616822429907</v>
      </c>
      <c r="AF223" s="50"/>
      <c r="AG223" s="33">
        <f t="shared" ref="AG223:AG229" si="198">SUM(W217:W223)</f>
        <v>5143</v>
      </c>
      <c r="AH223" s="33">
        <f t="shared" si="190"/>
        <v>1145908369.060914</v>
      </c>
      <c r="AI223" s="213">
        <f t="shared" ref="AI223:AI229" si="199">+(AG223-AG216)/AG216</f>
        <v>3.5225442834138483E-2</v>
      </c>
      <c r="AJ223" s="50"/>
      <c r="AK223" s="10"/>
      <c r="AL223" s="23">
        <f t="shared" ref="AL223:AL229" si="200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201">+AL223/AP222</f>
        <v>8.3522607758162622E-3</v>
      </c>
      <c r="AS223" s="25"/>
      <c r="AT223" s="25"/>
      <c r="AU223" s="24"/>
      <c r="AV223" s="298">
        <f t="shared" ref="AV223:AV229" si="202">+AP223/H223</f>
        <v>0.61095402880858218</v>
      </c>
      <c r="AW223" s="298"/>
      <c r="AX223" s="24">
        <f t="shared" ref="AX223:AX229" si="203">+AP223/BW223</f>
        <v>25716.205607476637</v>
      </c>
      <c r="AY223" s="308"/>
      <c r="AZ223" s="10"/>
      <c r="BA223" s="65">
        <f t="shared" ref="BA223:BA229" si="204">+BC223-BC222</f>
        <v>1373226</v>
      </c>
      <c r="BB223" s="66"/>
      <c r="BC223" s="66">
        <v>127057107</v>
      </c>
      <c r="BD223" s="66"/>
      <c r="BE223" s="66">
        <f t="shared" ref="BE223:BE229" si="205">+D223</f>
        <v>57327</v>
      </c>
      <c r="BF223" s="66"/>
      <c r="BG223" s="144">
        <f t="shared" ref="BG223:BG229" si="206">+BE223/BA223</f>
        <v>4.1746223855359567E-2</v>
      </c>
      <c r="BH223" s="66"/>
      <c r="BI223" s="170"/>
      <c r="BJ223" s="66"/>
      <c r="BK223" s="66">
        <f t="shared" ref="BK223:BK229" si="207">SUM(BA217:BA223)</f>
        <v>7559483</v>
      </c>
      <c r="BL223" s="66"/>
      <c r="BM223" s="144">
        <f t="shared" ref="BM223:BM229" si="208">+Q223/BK223</f>
        <v>5.3646922679765272E-2</v>
      </c>
      <c r="BN223" s="65">
        <f t="shared" ref="BN223:BN229" si="209">+BC223/BW223</f>
        <v>593724.79906542052</v>
      </c>
      <c r="BO223" s="66"/>
      <c r="BP223" s="66">
        <f t="shared" ref="BP223:BP229" si="210">+BP222+BE223</f>
        <v>8100685</v>
      </c>
      <c r="BQ223" s="66"/>
      <c r="BR223" s="435">
        <f t="shared" ref="BR223:BR229" si="211">+BP223/BC223</f>
        <v>6.3756252532965352E-2</v>
      </c>
      <c r="BS223" s="66"/>
      <c r="BT223" s="75"/>
      <c r="BU223" s="170"/>
      <c r="BV223" s="1"/>
      <c r="BW223" s="61">
        <f t="shared" si="189"/>
        <v>214</v>
      </c>
    </row>
    <row r="224" spans="2:75" x14ac:dyDescent="0.3">
      <c r="B224" s="158">
        <f t="shared" si="163"/>
        <v>44124</v>
      </c>
      <c r="C224" s="61"/>
      <c r="D224" s="17">
        <v>62072</v>
      </c>
      <c r="E224" s="16"/>
      <c r="F224" s="16"/>
      <c r="G224" s="16"/>
      <c r="H224" s="16">
        <f t="shared" si="191"/>
        <v>9069735</v>
      </c>
      <c r="I224" s="16"/>
      <c r="J224" s="436">
        <f t="shared" si="192"/>
        <v>6.8910215668592399E-3</v>
      </c>
      <c r="K224" s="16"/>
      <c r="L224" s="16"/>
      <c r="M224" s="16"/>
      <c r="N224" s="16">
        <f t="shared" si="193"/>
        <v>416081</v>
      </c>
      <c r="O224" s="16">
        <f t="shared" si="194"/>
        <v>42184.813953488374</v>
      </c>
      <c r="P224" s="41"/>
      <c r="Q224" s="17">
        <f t="shared" si="161"/>
        <v>416081</v>
      </c>
      <c r="R224" s="16"/>
      <c r="S224" s="60">
        <f t="shared" si="162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5"/>
        <v>228811</v>
      </c>
      <c r="AB224" s="33"/>
      <c r="AC224" s="46">
        <f t="shared" si="196"/>
        <v>2.5227969725686583E-2</v>
      </c>
      <c r="AD224" s="33"/>
      <c r="AE224" s="33">
        <f t="shared" si="197"/>
        <v>1064.2372093023255</v>
      </c>
      <c r="AF224" s="50"/>
      <c r="AG224" s="33">
        <f t="shared" si="198"/>
        <v>5252</v>
      </c>
      <c r="AH224" s="33">
        <f t="shared" si="190"/>
        <v>1145874983.060914</v>
      </c>
      <c r="AI224" s="213">
        <f t="shared" si="199"/>
        <v>4.977013791724965E-2</v>
      </c>
      <c r="AJ224" s="50"/>
      <c r="AK224" s="10"/>
      <c r="AL224" s="23">
        <f t="shared" si="200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201"/>
        <v>7.6956092270992439E-3</v>
      </c>
      <c r="AS224" s="25"/>
      <c r="AT224" s="25"/>
      <c r="AU224" s="24"/>
      <c r="AV224" s="298">
        <f t="shared" si="202"/>
        <v>0.61144223067156867</v>
      </c>
      <c r="AW224" s="298"/>
      <c r="AX224" s="24">
        <f t="shared" si="203"/>
        <v>25793.576744186048</v>
      </c>
      <c r="AY224" s="308"/>
      <c r="AZ224" s="10"/>
      <c r="BA224" s="65">
        <f t="shared" si="204"/>
        <v>777769</v>
      </c>
      <c r="BB224" s="66"/>
      <c r="BC224" s="66">
        <v>127834876</v>
      </c>
      <c r="BD224" s="66"/>
      <c r="BE224" s="66">
        <f t="shared" si="205"/>
        <v>62072</v>
      </c>
      <c r="BF224" s="66"/>
      <c r="BG224" s="144">
        <f t="shared" si="206"/>
        <v>7.9807757830409803E-2</v>
      </c>
      <c r="BH224" s="66"/>
      <c r="BI224" s="170"/>
      <c r="BJ224" s="66"/>
      <c r="BK224" s="66">
        <f t="shared" si="207"/>
        <v>7311304</v>
      </c>
      <c r="BL224" s="66"/>
      <c r="BM224" s="144">
        <f t="shared" si="208"/>
        <v>5.6909273639832239E-2</v>
      </c>
      <c r="BN224" s="65">
        <f t="shared" si="209"/>
        <v>594580.81860465114</v>
      </c>
      <c r="BO224" s="66"/>
      <c r="BP224" s="66">
        <f t="shared" si="210"/>
        <v>8162757</v>
      </c>
      <c r="BQ224" s="66"/>
      <c r="BR224" s="435">
        <f t="shared" si="211"/>
        <v>6.3853912605195476E-2</v>
      </c>
      <c r="BS224" s="66"/>
      <c r="BT224" s="75"/>
      <c r="BU224" s="170"/>
      <c r="BV224" s="1"/>
      <c r="BW224" s="61">
        <f t="shared" si="189"/>
        <v>215</v>
      </c>
    </row>
    <row r="225" spans="2:75" x14ac:dyDescent="0.3">
      <c r="B225" s="158">
        <f t="shared" si="163"/>
        <v>44125</v>
      </c>
      <c r="C225" s="61"/>
      <c r="D225" s="17">
        <v>63663</v>
      </c>
      <c r="E225" s="16"/>
      <c r="F225" s="16"/>
      <c r="G225" s="16"/>
      <c r="H225" s="16">
        <f t="shared" si="191"/>
        <v>9133398</v>
      </c>
      <c r="I225" s="16"/>
      <c r="J225" s="436">
        <f t="shared" si="192"/>
        <v>7.0192789535747186E-3</v>
      </c>
      <c r="K225" s="16"/>
      <c r="L225" s="16"/>
      <c r="M225" s="16"/>
      <c r="N225" s="16">
        <f t="shared" si="193"/>
        <v>420051</v>
      </c>
      <c r="O225" s="16">
        <f t="shared" si="194"/>
        <v>42284.25</v>
      </c>
      <c r="P225" s="41"/>
      <c r="Q225" s="17">
        <f t="shared" si="161"/>
        <v>420051</v>
      </c>
      <c r="R225" s="16"/>
      <c r="S225" s="60">
        <f t="shared" si="162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5"/>
        <v>230036</v>
      </c>
      <c r="AB225" s="33"/>
      <c r="AC225" s="46">
        <f t="shared" si="196"/>
        <v>2.518624503169576E-2</v>
      </c>
      <c r="AD225" s="33"/>
      <c r="AE225" s="33">
        <f t="shared" si="197"/>
        <v>1064.9814814814815</v>
      </c>
      <c r="AF225" s="50"/>
      <c r="AG225" s="33">
        <f t="shared" si="198"/>
        <v>5507</v>
      </c>
      <c r="AH225" s="33">
        <f>SUM(D196:D642)</f>
        <v>1145838179.060914</v>
      </c>
      <c r="AI225" s="213">
        <f t="shared" si="199"/>
        <v>9.2008724965298438E-2</v>
      </c>
      <c r="AJ225" s="50"/>
      <c r="AK225" s="10"/>
      <c r="AL225" s="23">
        <f t="shared" si="200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201"/>
        <v>1.0187681483347486E-2</v>
      </c>
      <c r="AS225" s="25"/>
      <c r="AT225" s="25"/>
      <c r="AU225" s="24"/>
      <c r="AV225" s="298">
        <f t="shared" si="202"/>
        <v>0.61336602215298186</v>
      </c>
      <c r="AW225" s="298"/>
      <c r="AX225" s="24">
        <f t="shared" si="203"/>
        <v>25935.722222222223</v>
      </c>
      <c r="AY225" s="308"/>
      <c r="AZ225" s="10"/>
      <c r="BA225" s="65">
        <f t="shared" si="204"/>
        <v>815281</v>
      </c>
      <c r="BB225" s="66"/>
      <c r="BC225" s="66">
        <v>128650157</v>
      </c>
      <c r="BD225" s="66"/>
      <c r="BE225" s="66">
        <f t="shared" si="205"/>
        <v>63663</v>
      </c>
      <c r="BF225" s="66"/>
      <c r="BG225" s="144">
        <f t="shared" si="206"/>
        <v>7.8087187117079876E-2</v>
      </c>
      <c r="BH225" s="66"/>
      <c r="BI225" s="170"/>
      <c r="BJ225" s="66"/>
      <c r="BK225" s="66">
        <f t="shared" si="207"/>
        <v>7083019</v>
      </c>
      <c r="BL225" s="66"/>
      <c r="BM225" s="144">
        <f t="shared" si="208"/>
        <v>5.9303949347022787E-2</v>
      </c>
      <c r="BN225" s="65">
        <f t="shared" si="209"/>
        <v>595602.57870370371</v>
      </c>
      <c r="BO225" s="66"/>
      <c r="BP225" s="66">
        <f t="shared" si="210"/>
        <v>8226420</v>
      </c>
      <c r="BQ225" s="66"/>
      <c r="BR225" s="435">
        <f t="shared" si="211"/>
        <v>6.3944111626696262E-2</v>
      </c>
      <c r="BS225" s="66"/>
      <c r="BT225" s="75"/>
      <c r="BU225" s="170"/>
      <c r="BV225" s="1"/>
      <c r="BW225" s="61">
        <f t="shared" si="189"/>
        <v>216</v>
      </c>
    </row>
    <row r="226" spans="2:75" x14ac:dyDescent="0.3">
      <c r="B226" s="158">
        <f t="shared" si="163"/>
        <v>44126</v>
      </c>
      <c r="C226" s="61"/>
      <c r="D226" s="17">
        <v>74301</v>
      </c>
      <c r="E226" s="16"/>
      <c r="F226" s="16"/>
      <c r="G226" s="16"/>
      <c r="H226" s="16">
        <f t="shared" si="191"/>
        <v>9207699</v>
      </c>
      <c r="I226" s="16"/>
      <c r="J226" s="436">
        <f t="shared" si="192"/>
        <v>8.1350883866004742E-3</v>
      </c>
      <c r="K226" s="16"/>
      <c r="L226" s="16"/>
      <c r="M226" s="16"/>
      <c r="N226" s="16">
        <f t="shared" si="193"/>
        <v>428223</v>
      </c>
      <c r="O226" s="16">
        <f t="shared" si="194"/>
        <v>42431.792626728107</v>
      </c>
      <c r="P226" s="41"/>
      <c r="Q226" s="17">
        <f t="shared" si="161"/>
        <v>428223</v>
      </c>
      <c r="R226" s="16"/>
      <c r="S226" s="60">
        <f t="shared" si="162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5"/>
        <v>231009</v>
      </c>
      <c r="AB226" s="33"/>
      <c r="AC226" s="46">
        <f t="shared" si="196"/>
        <v>2.508867850697552E-2</v>
      </c>
      <c r="AD226" s="33"/>
      <c r="AE226" s="33">
        <f t="shared" si="197"/>
        <v>1064.557603686636</v>
      </c>
      <c r="AF226" s="50"/>
      <c r="AG226" s="33">
        <f t="shared" si="198"/>
        <v>5606</v>
      </c>
      <c r="AH226" s="33">
        <f>SUM(D197:D643)</f>
        <v>1145802483.060914</v>
      </c>
      <c r="AI226" s="213">
        <f t="shared" si="199"/>
        <v>0.13024193548387097</v>
      </c>
      <c r="AJ226" s="50"/>
      <c r="AK226" s="10"/>
      <c r="AL226" s="23">
        <f t="shared" si="200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201"/>
        <v>9.4937341533092145E-3</v>
      </c>
      <c r="AS226" s="25"/>
      <c r="AT226" s="25"/>
      <c r="AU226" s="24"/>
      <c r="AV226" s="298">
        <f t="shared" si="202"/>
        <v>0.61419264465530421</v>
      </c>
      <c r="AW226" s="298"/>
      <c r="AX226" s="24">
        <f t="shared" si="203"/>
        <v>26061.294930875578</v>
      </c>
      <c r="AY226" s="308"/>
      <c r="AZ226" s="10"/>
      <c r="BA226" s="65">
        <f t="shared" si="204"/>
        <v>1154411</v>
      </c>
      <c r="BB226" s="66"/>
      <c r="BC226" s="66">
        <v>129804568</v>
      </c>
      <c r="BD226" s="66"/>
      <c r="BE226" s="66">
        <f t="shared" si="205"/>
        <v>74301</v>
      </c>
      <c r="BF226" s="66"/>
      <c r="BG226" s="144">
        <f t="shared" si="206"/>
        <v>6.4362692316687897E-2</v>
      </c>
      <c r="BH226" s="66"/>
      <c r="BI226" s="170"/>
      <c r="BJ226" s="66"/>
      <c r="BK226" s="66">
        <f t="shared" si="207"/>
        <v>7109220</v>
      </c>
      <c r="BL226" s="66"/>
      <c r="BM226" s="144">
        <f t="shared" si="208"/>
        <v>6.0234878087891498E-2</v>
      </c>
      <c r="BN226" s="65">
        <f t="shared" si="209"/>
        <v>598177.73271889403</v>
      </c>
      <c r="BO226" s="66"/>
      <c r="BP226" s="66">
        <f t="shared" si="210"/>
        <v>8300721</v>
      </c>
      <c r="BQ226" s="66"/>
      <c r="BR226" s="435">
        <f t="shared" si="211"/>
        <v>6.3947834254954719E-2</v>
      </c>
      <c r="BS226" s="66"/>
      <c r="BT226" s="75"/>
      <c r="BU226" s="170"/>
      <c r="BV226" s="1"/>
      <c r="BW226" s="61">
        <f t="shared" si="189"/>
        <v>217</v>
      </c>
    </row>
    <row r="227" spans="2:75" x14ac:dyDescent="0.3">
      <c r="B227" s="158">
        <f t="shared" si="163"/>
        <v>44127</v>
      </c>
      <c r="C227" s="61"/>
      <c r="D227" s="17">
        <v>81414</v>
      </c>
      <c r="E227" s="16"/>
      <c r="F227" s="16"/>
      <c r="G227" s="16"/>
      <c r="H227" s="16">
        <f t="shared" si="191"/>
        <v>9289113</v>
      </c>
      <c r="I227" s="16"/>
      <c r="J227" s="436">
        <f t="shared" si="192"/>
        <v>8.8419484607392147E-3</v>
      </c>
      <c r="K227" s="16"/>
      <c r="L227" s="16"/>
      <c r="M227" s="16"/>
      <c r="N227" s="16">
        <f t="shared" si="193"/>
        <v>437950</v>
      </c>
      <c r="O227" s="16">
        <f t="shared" si="194"/>
        <v>42610.610091743118</v>
      </c>
      <c r="P227" s="41"/>
      <c r="Q227" s="17">
        <f t="shared" si="161"/>
        <v>437950</v>
      </c>
      <c r="R227" s="16"/>
      <c r="S227" s="60">
        <f t="shared" si="162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5"/>
        <v>231912</v>
      </c>
      <c r="AB227" s="33"/>
      <c r="AC227" s="46">
        <f t="shared" si="196"/>
        <v>2.4966000521255367E-2</v>
      </c>
      <c r="AD227" s="33"/>
      <c r="AE227" s="33">
        <f t="shared" si="197"/>
        <v>1063.8165137614678</v>
      </c>
      <c r="AF227" s="50"/>
      <c r="AG227" s="33">
        <f t="shared" si="198"/>
        <v>5581</v>
      </c>
      <c r="AH227" s="33">
        <f>SUM(D198:D644)</f>
        <v>1145760867.060914</v>
      </c>
      <c r="AI227" s="213">
        <f t="shared" si="199"/>
        <v>0.12090781281381803</v>
      </c>
      <c r="AJ227" s="50"/>
      <c r="AK227" s="10"/>
      <c r="AL227" s="23">
        <f t="shared" si="200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201"/>
        <v>7.5787301153378041E-3</v>
      </c>
      <c r="AS227" s="25"/>
      <c r="AT227" s="25"/>
      <c r="AU227" s="24"/>
      <c r="AV227" s="298">
        <f t="shared" si="202"/>
        <v>0.61342358522283025</v>
      </c>
      <c r="AW227" s="298"/>
      <c r="AX227" s="24">
        <f t="shared" si="203"/>
        <v>26138.353211009173</v>
      </c>
      <c r="AY227" s="308"/>
      <c r="AZ227" s="10"/>
      <c r="BA227" s="65">
        <f t="shared" si="204"/>
        <v>1252145</v>
      </c>
      <c r="BB227" s="66"/>
      <c r="BC227" s="66">
        <v>131056713</v>
      </c>
      <c r="BD227" s="66"/>
      <c r="BE227" s="66">
        <f t="shared" si="205"/>
        <v>81414</v>
      </c>
      <c r="BF227" s="66"/>
      <c r="BG227" s="144">
        <f t="shared" si="206"/>
        <v>6.501962632123276E-2</v>
      </c>
      <c r="BH227" s="66"/>
      <c r="BI227" s="170"/>
      <c r="BJ227" s="66"/>
      <c r="BK227" s="66">
        <f t="shared" si="207"/>
        <v>7320266</v>
      </c>
      <c r="BL227" s="66"/>
      <c r="BM227" s="144">
        <f t="shared" si="208"/>
        <v>5.9827060929206671E-2</v>
      </c>
      <c r="BN227" s="65">
        <f t="shared" si="209"/>
        <v>601177.58256880729</v>
      </c>
      <c r="BO227" s="66"/>
      <c r="BP227" s="66">
        <f t="shared" si="210"/>
        <v>8382135</v>
      </c>
      <c r="BQ227" s="66"/>
      <c r="BR227" s="435">
        <f t="shared" si="211"/>
        <v>6.3958074394861411E-2</v>
      </c>
      <c r="BS227" s="66"/>
      <c r="BT227" s="75"/>
      <c r="BU227" s="170"/>
      <c r="BV227" s="1"/>
      <c r="BW227" s="61">
        <f t="shared" si="189"/>
        <v>218</v>
      </c>
    </row>
    <row r="228" spans="2:75" x14ac:dyDescent="0.3">
      <c r="B228" s="158">
        <f t="shared" si="163"/>
        <v>44128</v>
      </c>
      <c r="C228" s="61"/>
      <c r="D228" s="17">
        <v>79449</v>
      </c>
      <c r="E228" s="16"/>
      <c r="F228" s="16"/>
      <c r="G228" s="16"/>
      <c r="H228" s="16">
        <f t="shared" si="191"/>
        <v>9368562</v>
      </c>
      <c r="I228" s="16"/>
      <c r="J228" s="436">
        <f t="shared" si="192"/>
        <v>8.5529156551330567E-3</v>
      </c>
      <c r="K228" s="16"/>
      <c r="L228" s="16"/>
      <c r="M228" s="16"/>
      <c r="N228" s="16">
        <f t="shared" si="193"/>
        <v>463167</v>
      </c>
      <c r="O228" s="16">
        <f t="shared" si="194"/>
        <v>42778.821917808222</v>
      </c>
      <c r="P228" s="41"/>
      <c r="Q228" s="17">
        <f t="shared" si="161"/>
        <v>463167</v>
      </c>
      <c r="R228" s="16"/>
      <c r="S228" s="60">
        <f t="shared" si="162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5"/>
        <v>232696</v>
      </c>
      <c r="AB228" s="33"/>
      <c r="AC228" s="46">
        <f t="shared" si="196"/>
        <v>2.4837963392887831E-2</v>
      </c>
      <c r="AD228" s="33"/>
      <c r="AE228" s="33">
        <f t="shared" si="197"/>
        <v>1062.538812785388</v>
      </c>
      <c r="AF228" s="50"/>
      <c r="AG228" s="33">
        <f t="shared" si="198"/>
        <v>5727</v>
      </c>
      <c r="AH228" s="33">
        <f>SUM(D199:D645)</f>
        <v>1145715512.060914</v>
      </c>
      <c r="AI228" s="213">
        <f t="shared" si="199"/>
        <v>0.17020841847159787</v>
      </c>
      <c r="AJ228" s="50"/>
      <c r="AK228" s="10"/>
      <c r="AL228" s="23">
        <f t="shared" si="200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201"/>
        <v>7.625267169530661E-3</v>
      </c>
      <c r="AS228" s="25"/>
      <c r="AT228" s="25"/>
      <c r="AU228" s="24"/>
      <c r="AV228" s="298">
        <f t="shared" si="202"/>
        <v>0.61285936945285735</v>
      </c>
      <c r="AW228" s="298"/>
      <c r="AX228" s="24">
        <f t="shared" si="203"/>
        <v>26217.40182648402</v>
      </c>
      <c r="AY228" s="308"/>
      <c r="AZ228" s="10"/>
      <c r="BA228" s="65">
        <f t="shared" si="204"/>
        <v>1151780</v>
      </c>
      <c r="BB228" s="66"/>
      <c r="BC228" s="66">
        <v>132208493</v>
      </c>
      <c r="BD228" s="66"/>
      <c r="BE228" s="66">
        <f t="shared" si="205"/>
        <v>79449</v>
      </c>
      <c r="BF228" s="66"/>
      <c r="BG228" s="144">
        <f t="shared" si="206"/>
        <v>6.8979318967163875E-2</v>
      </c>
      <c r="BH228" s="66"/>
      <c r="BI228" s="170"/>
      <c r="BJ228" s="66"/>
      <c r="BK228" s="66">
        <f t="shared" si="207"/>
        <v>7415825</v>
      </c>
      <c r="BL228" s="66"/>
      <c r="BM228" s="144">
        <f t="shared" si="208"/>
        <v>6.2456570914227343E-2</v>
      </c>
      <c r="BN228" s="65">
        <f t="shared" si="209"/>
        <v>603691.74885844754</v>
      </c>
      <c r="BO228" s="66"/>
      <c r="BP228" s="66">
        <f t="shared" si="210"/>
        <v>8461584</v>
      </c>
      <c r="BQ228" s="66"/>
      <c r="BR228" s="435">
        <f t="shared" si="211"/>
        <v>6.4001818703129765E-2</v>
      </c>
      <c r="BS228" s="66"/>
      <c r="BT228" s="75"/>
      <c r="BU228" s="170"/>
      <c r="BV228" s="1"/>
      <c r="BW228" s="61">
        <f t="shared" si="189"/>
        <v>219</v>
      </c>
    </row>
    <row r="229" spans="2:75" x14ac:dyDescent="0.3">
      <c r="B229" s="347">
        <f t="shared" si="163"/>
        <v>44129</v>
      </c>
      <c r="C229" s="61"/>
      <c r="D229" s="17">
        <v>60889</v>
      </c>
      <c r="E229" s="16"/>
      <c r="F229" s="16"/>
      <c r="G229" s="16"/>
      <c r="H229" s="16">
        <f t="shared" si="191"/>
        <v>9429451</v>
      </c>
      <c r="I229" s="16"/>
      <c r="J229" s="436">
        <f t="shared" si="192"/>
        <v>6.499289858998638E-3</v>
      </c>
      <c r="K229" s="16"/>
      <c r="L229" s="16"/>
      <c r="M229" s="16"/>
      <c r="N229" s="16">
        <f t="shared" si="193"/>
        <v>479115</v>
      </c>
      <c r="O229" s="16">
        <f t="shared" si="194"/>
        <v>42861.140909090907</v>
      </c>
      <c r="P229" s="41"/>
      <c r="Q229" s="17">
        <f t="shared" si="161"/>
        <v>479115</v>
      </c>
      <c r="R229" s="16"/>
      <c r="S229" s="60">
        <f t="shared" si="162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5"/>
        <v>233138</v>
      </c>
      <c r="AB229" s="33"/>
      <c r="AC229" s="46">
        <f t="shared" si="196"/>
        <v>2.4724451084161738E-2</v>
      </c>
      <c r="AD229" s="33"/>
      <c r="AE229" s="33">
        <f t="shared" si="197"/>
        <v>1059.7181818181818</v>
      </c>
      <c r="AF229" s="50"/>
      <c r="AG229" s="33">
        <f t="shared" si="198"/>
        <v>5721</v>
      </c>
      <c r="AH229" s="33">
        <f>SUM(D200:D647)</f>
        <v>1145661883.060914</v>
      </c>
      <c r="AI229" s="213">
        <f t="shared" si="199"/>
        <v>0.14032290213274864</v>
      </c>
      <c r="AJ229" s="50"/>
      <c r="AK229" s="10"/>
      <c r="AL229" s="23">
        <f t="shared" si="200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201"/>
        <v>5.379500631442987E-3</v>
      </c>
      <c r="AS229" s="25"/>
      <c r="AT229" s="25"/>
      <c r="AU229" s="24"/>
      <c r="AV229" s="298">
        <f t="shared" si="202"/>
        <v>0.61217752762064304</v>
      </c>
      <c r="AW229" s="298"/>
      <c r="AX229" s="24">
        <f t="shared" si="203"/>
        <v>26238.627272727274</v>
      </c>
      <c r="AY229" s="308"/>
      <c r="AZ229" s="348"/>
      <c r="BA229" s="65">
        <f t="shared" si="204"/>
        <v>1020835</v>
      </c>
      <c r="BB229" s="66"/>
      <c r="BC229" s="66">
        <v>133229328</v>
      </c>
      <c r="BD229" s="66"/>
      <c r="BE229" s="66">
        <f t="shared" si="205"/>
        <v>60889</v>
      </c>
      <c r="BF229" s="66"/>
      <c r="BG229" s="144">
        <f t="shared" si="206"/>
        <v>5.964626996527353E-2</v>
      </c>
      <c r="BH229" s="66"/>
      <c r="BI229" s="170"/>
      <c r="BJ229" s="66"/>
      <c r="BK229" s="66">
        <f t="shared" si="207"/>
        <v>7545447</v>
      </c>
      <c r="BL229" s="66"/>
      <c r="BM229" s="144">
        <f t="shared" si="208"/>
        <v>6.349723217193097E-2</v>
      </c>
      <c r="BN229" s="65">
        <f t="shared" si="209"/>
        <v>605587.85454545449</v>
      </c>
      <c r="BO229" s="66"/>
      <c r="BP229" s="66">
        <f t="shared" si="210"/>
        <v>8522473</v>
      </c>
      <c r="BQ229" s="66"/>
      <c r="BR229" s="435">
        <f t="shared" si="211"/>
        <v>6.3968445446185837E-2</v>
      </c>
      <c r="BS229" s="66"/>
      <c r="BT229" s="75"/>
      <c r="BU229" s="170"/>
      <c r="BV229" s="1"/>
      <c r="BW229" s="61">
        <f t="shared" si="189"/>
        <v>220</v>
      </c>
    </row>
    <row r="230" spans="2:75" x14ac:dyDescent="0.3">
      <c r="B230" s="158">
        <f t="shared" si="163"/>
        <v>44130</v>
      </c>
      <c r="C230" s="61"/>
      <c r="D230" s="17">
        <v>69841</v>
      </c>
      <c r="E230" s="16"/>
      <c r="F230" s="16"/>
      <c r="G230" s="16"/>
      <c r="H230" s="16">
        <f t="shared" ref="H230:H261" si="212">+H229+D230</f>
        <v>9499292</v>
      </c>
      <c r="I230" s="16"/>
      <c r="J230" s="436">
        <f t="shared" ref="J230:J261" si="213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4">+H230/BW230</f>
        <v>42983.221719457011</v>
      </c>
      <c r="P230" s="41"/>
      <c r="Q230" s="17">
        <f t="shared" si="161"/>
        <v>491629</v>
      </c>
      <c r="R230" s="16"/>
      <c r="S230" s="60">
        <f t="shared" si="162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5">+AA229+W230</f>
        <v>233667</v>
      </c>
      <c r="AB230" s="33"/>
      <c r="AC230" s="46">
        <f t="shared" ref="AC230:AC261" si="216">+AA230/H230</f>
        <v>2.4598359540900522E-2</v>
      </c>
      <c r="AD230" s="33"/>
      <c r="AE230" s="33">
        <f t="shared" ref="AE230:AE261" si="217">+AA230/BW230</f>
        <v>1057.316742081448</v>
      </c>
      <c r="AF230" s="50"/>
      <c r="AG230" s="33">
        <f t="shared" ref="AG230:AG261" si="218">SUM(W224:W230)</f>
        <v>5808</v>
      </c>
      <c r="AH230" s="33">
        <f t="shared" ref="AH230:AH293" si="219">SUM(D201:D649)</f>
        <v>1145618677.060914</v>
      </c>
      <c r="AI230" s="213">
        <f t="shared" ref="AI230:AI261" si="220">+(AG230-AG223)/AG223</f>
        <v>0.12930196383433792</v>
      </c>
      <c r="AJ230" s="50"/>
      <c r="AK230" s="10"/>
      <c r="AL230" s="23">
        <f t="shared" ref="AL230:AL261" si="221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22">+AL230/AP229</f>
        <v>1.0623823516266269E-2</v>
      </c>
      <c r="AS230" s="25"/>
      <c r="AT230" s="25"/>
      <c r="AU230" s="24"/>
      <c r="AV230" s="298">
        <f t="shared" ref="AV230:AV261" si="223">+AP230/H230</f>
        <v>0.61413250587517465</v>
      </c>
      <c r="AW230" s="298"/>
      <c r="AX230" s="24">
        <f t="shared" ref="AX230:AX261" si="224">+AP230/BW230</f>
        <v>26397.393665158372</v>
      </c>
      <c r="AY230" s="308"/>
      <c r="AZ230" s="10"/>
      <c r="BA230" s="65">
        <f t="shared" ref="BA230:BA261" si="225">+BC230-BC229</f>
        <v>1246764</v>
      </c>
      <c r="BB230" s="66"/>
      <c r="BC230" s="66">
        <v>134476092</v>
      </c>
      <c r="BD230" s="66"/>
      <c r="BE230" s="66">
        <f t="shared" ref="BE230:BE261" si="226">+D230</f>
        <v>69841</v>
      </c>
      <c r="BF230" s="66"/>
      <c r="BG230" s="144">
        <f t="shared" ref="BG230:BG261" si="227">+BE230/BA230</f>
        <v>5.6017818929645066E-2</v>
      </c>
      <c r="BH230" s="66"/>
      <c r="BI230" s="170"/>
      <c r="BJ230" s="66"/>
      <c r="BK230" s="66">
        <f t="shared" ref="BK230:BK261" si="228">SUM(BA224:BA230)</f>
        <v>7418985</v>
      </c>
      <c r="BL230" s="66"/>
      <c r="BM230" s="144">
        <f t="shared" ref="BM230:BM261" si="229">+Q230/BK230</f>
        <v>6.6266342363544339E-2</v>
      </c>
      <c r="BN230" s="65">
        <f t="shared" ref="BN230:BN261" si="230">+BC230/BW230</f>
        <v>608489.10407239816</v>
      </c>
      <c r="BO230" s="66"/>
      <c r="BP230" s="66">
        <f t="shared" ref="BP230:BP261" si="231">+BP229+BE230</f>
        <v>8592314</v>
      </c>
      <c r="BQ230" s="66"/>
      <c r="BR230" s="435">
        <f t="shared" ref="BR230:BR261" si="232">+BP230/BC230</f>
        <v>6.3894733050392338E-2</v>
      </c>
      <c r="BS230" s="66"/>
      <c r="BT230" s="75"/>
      <c r="BU230" s="170"/>
      <c r="BV230" s="1"/>
      <c r="BW230" s="61">
        <f t="shared" si="189"/>
        <v>221</v>
      </c>
    </row>
    <row r="231" spans="2:75" x14ac:dyDescent="0.3">
      <c r="B231" s="158">
        <f t="shared" si="163"/>
        <v>44131</v>
      </c>
      <c r="C231" s="61"/>
      <c r="D231" s="17">
        <v>75072</v>
      </c>
      <c r="E231" s="16"/>
      <c r="F231" s="16"/>
      <c r="G231" s="16"/>
      <c r="H231" s="16">
        <f t="shared" si="212"/>
        <v>9574364</v>
      </c>
      <c r="I231" s="16"/>
      <c r="J231" s="436">
        <f t="shared" si="213"/>
        <v>7.9029047638497687E-3</v>
      </c>
      <c r="K231" s="16"/>
      <c r="L231" s="16"/>
      <c r="M231" s="16"/>
      <c r="N231" s="16">
        <f>SUM(D225:D231)</f>
        <v>504629</v>
      </c>
      <c r="O231" s="16">
        <f t="shared" si="214"/>
        <v>43127.765765765769</v>
      </c>
      <c r="P231" s="41"/>
      <c r="Q231" s="17">
        <f t="shared" si="161"/>
        <v>504629</v>
      </c>
      <c r="R231" s="16"/>
      <c r="S231" s="60">
        <f t="shared" si="162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5"/>
        <v>234706</v>
      </c>
      <c r="AB231" s="33"/>
      <c r="AC231" s="46">
        <f t="shared" si="216"/>
        <v>2.4514004272241999E-2</v>
      </c>
      <c r="AD231" s="33"/>
      <c r="AE231" s="33">
        <f t="shared" si="217"/>
        <v>1057.2342342342342</v>
      </c>
      <c r="AF231" s="50"/>
      <c r="AG231" s="33">
        <f t="shared" si="218"/>
        <v>5895</v>
      </c>
      <c r="AH231" s="33">
        <f t="shared" si="219"/>
        <v>1145584895.060914</v>
      </c>
      <c r="AI231" s="213">
        <f t="shared" si="220"/>
        <v>0.12242955064737243</v>
      </c>
      <c r="AJ231" s="50"/>
      <c r="AK231" s="10"/>
      <c r="AL231" s="23">
        <f t="shared" si="221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22"/>
        <v>7.5662207156060928E-3</v>
      </c>
      <c r="AS231" s="25"/>
      <c r="AT231" s="25"/>
      <c r="AU231" s="24"/>
      <c r="AV231" s="298">
        <f t="shared" si="223"/>
        <v>0.613927358516973</v>
      </c>
      <c r="AW231" s="298"/>
      <c r="AX231" s="24">
        <f t="shared" si="224"/>
        <v>26477.315315315314</v>
      </c>
      <c r="AY231" s="308"/>
      <c r="AZ231" s="10"/>
      <c r="BA231" s="65">
        <f t="shared" si="225"/>
        <v>948841</v>
      </c>
      <c r="BB231" s="66"/>
      <c r="BC231" s="66">
        <v>135424933</v>
      </c>
      <c r="BD231" s="66"/>
      <c r="BE231" s="66">
        <f t="shared" si="226"/>
        <v>75072</v>
      </c>
      <c r="BF231" s="66"/>
      <c r="BG231" s="144">
        <f t="shared" si="227"/>
        <v>7.9119683909105953E-2</v>
      </c>
      <c r="BH231" s="66"/>
      <c r="BI231" s="170"/>
      <c r="BJ231" s="66"/>
      <c r="BK231" s="66">
        <f t="shared" si="228"/>
        <v>7590057</v>
      </c>
      <c r="BL231" s="66"/>
      <c r="BM231" s="144">
        <f t="shared" si="229"/>
        <v>6.6485534957115608E-2</v>
      </c>
      <c r="BN231" s="65">
        <f t="shared" si="230"/>
        <v>610022.22072072071</v>
      </c>
      <c r="BO231" s="66"/>
      <c r="BP231" s="66">
        <f t="shared" si="231"/>
        <v>8667386</v>
      </c>
      <c r="BQ231" s="66"/>
      <c r="BR231" s="435">
        <f t="shared" si="232"/>
        <v>6.4001405117918728E-2</v>
      </c>
      <c r="BS231" s="66"/>
      <c r="BT231" s="75"/>
      <c r="BU231" s="170"/>
      <c r="BV231" s="1"/>
      <c r="BW231" s="61">
        <f t="shared" si="189"/>
        <v>222</v>
      </c>
    </row>
    <row r="232" spans="2:75" x14ac:dyDescent="0.3">
      <c r="B232" s="158">
        <f t="shared" si="163"/>
        <v>44132</v>
      </c>
      <c r="C232" s="61"/>
      <c r="D232" s="17">
        <v>81581</v>
      </c>
      <c r="E232" s="16"/>
      <c r="F232" s="16"/>
      <c r="G232" s="16"/>
      <c r="H232" s="16">
        <f t="shared" si="212"/>
        <v>9655945</v>
      </c>
      <c r="I232" s="16"/>
      <c r="J232" s="436">
        <f t="shared" si="213"/>
        <v>8.5207748525123958E-3</v>
      </c>
      <c r="K232" s="16"/>
      <c r="L232" s="16"/>
      <c r="M232" s="16"/>
      <c r="N232" s="16">
        <f>SUM(D226:D232)</f>
        <v>522547</v>
      </c>
      <c r="O232" s="16">
        <f t="shared" si="214"/>
        <v>43300.201793721972</v>
      </c>
      <c r="P232" s="41"/>
      <c r="Q232" s="17">
        <f t="shared" si="161"/>
        <v>522547</v>
      </c>
      <c r="R232" s="16"/>
      <c r="S232" s="60">
        <f t="shared" si="162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5"/>
        <v>235736</v>
      </c>
      <c r="AB232" s="33"/>
      <c r="AC232" s="46">
        <f t="shared" si="216"/>
        <v>2.441356076489665E-2</v>
      </c>
      <c r="AD232" s="33"/>
      <c r="AE232" s="33">
        <f t="shared" si="217"/>
        <v>1057.1121076233185</v>
      </c>
      <c r="AF232" s="50"/>
      <c r="AG232" s="33">
        <f t="shared" si="218"/>
        <v>5700</v>
      </c>
      <c r="AH232" s="33">
        <f t="shared" si="219"/>
        <v>1145547477.060914</v>
      </c>
      <c r="AI232" s="213">
        <f t="shared" si="220"/>
        <v>3.5046304703105137E-2</v>
      </c>
      <c r="AJ232" s="50"/>
      <c r="AK232" s="10"/>
      <c r="AL232" s="23">
        <f t="shared" si="221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22"/>
        <v>9.3991729108922756E-3</v>
      </c>
      <c r="AS232" s="25"/>
      <c r="AT232" s="25"/>
      <c r="AU232" s="24"/>
      <c r="AV232" s="298">
        <f t="shared" si="223"/>
        <v>0.61446207491861227</v>
      </c>
      <c r="AW232" s="298"/>
      <c r="AX232" s="24">
        <f t="shared" si="224"/>
        <v>26606.331838565024</v>
      </c>
      <c r="AY232" s="308"/>
      <c r="AZ232" s="10"/>
      <c r="BA232" s="65">
        <f t="shared" si="225"/>
        <v>4769881</v>
      </c>
      <c r="BB232" s="66"/>
      <c r="BC232" s="66">
        <v>140194814</v>
      </c>
      <c r="BD232" s="66"/>
      <c r="BE232" s="66">
        <f t="shared" si="226"/>
        <v>81581</v>
      </c>
      <c r="BF232" s="66"/>
      <c r="BG232" s="144">
        <f t="shared" si="227"/>
        <v>1.710336169812203E-2</v>
      </c>
      <c r="BH232" s="66"/>
      <c r="BI232" s="170"/>
      <c r="BJ232" s="66"/>
      <c r="BK232" s="66">
        <f t="shared" si="228"/>
        <v>11544657</v>
      </c>
      <c r="BL232" s="66"/>
      <c r="BM232" s="144">
        <f t="shared" si="229"/>
        <v>4.5263103096090253E-2</v>
      </c>
      <c r="BN232" s="65">
        <f t="shared" si="230"/>
        <v>628676.29596412554</v>
      </c>
      <c r="BO232" s="66"/>
      <c r="BP232" s="66">
        <f t="shared" si="231"/>
        <v>8748967</v>
      </c>
      <c r="BQ232" s="66"/>
      <c r="BR232" s="435">
        <f t="shared" si="232"/>
        <v>6.2405781999896229E-2</v>
      </c>
      <c r="BS232" s="66"/>
      <c r="BT232" s="75"/>
      <c r="BU232" s="170"/>
      <c r="BV232" s="1"/>
      <c r="BW232" s="61">
        <f t="shared" si="189"/>
        <v>223</v>
      </c>
    </row>
    <row r="233" spans="2:75" x14ac:dyDescent="0.3">
      <c r="B233" s="158">
        <f t="shared" si="163"/>
        <v>44133</v>
      </c>
      <c r="C233" s="61"/>
      <c r="D233" s="17">
        <v>91530</v>
      </c>
      <c r="E233" s="16"/>
      <c r="F233" s="16"/>
      <c r="G233" s="16"/>
      <c r="H233" s="16">
        <f t="shared" si="212"/>
        <v>9747475</v>
      </c>
      <c r="I233" s="16"/>
      <c r="J233" s="436">
        <f t="shared" si="213"/>
        <v>9.4791343571240302E-3</v>
      </c>
      <c r="K233" s="16"/>
      <c r="L233" s="16"/>
      <c r="M233" s="16"/>
      <c r="N233" s="16">
        <f>SUM(D227:D233)</f>
        <v>539776</v>
      </c>
      <c r="O233" s="16">
        <f t="shared" si="214"/>
        <v>43515.513392857145</v>
      </c>
      <c r="P233" s="41"/>
      <c r="Q233" s="17">
        <f t="shared" si="161"/>
        <v>539776</v>
      </c>
      <c r="R233" s="16"/>
      <c r="S233" s="60">
        <f t="shared" si="162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5"/>
        <v>236783</v>
      </c>
      <c r="AB233" s="33"/>
      <c r="AC233" s="46">
        <f t="shared" si="216"/>
        <v>2.429172683182055E-2</v>
      </c>
      <c r="AD233" s="33"/>
      <c r="AE233" s="33">
        <f t="shared" si="217"/>
        <v>1057.0669642857142</v>
      </c>
      <c r="AF233" s="50"/>
      <c r="AG233" s="33">
        <f t="shared" si="218"/>
        <v>5774</v>
      </c>
      <c r="AH233" s="33">
        <f t="shared" si="219"/>
        <v>1145503250.060914</v>
      </c>
      <c r="AI233" s="213">
        <f t="shared" si="220"/>
        <v>2.9967891544773455E-2</v>
      </c>
      <c r="AJ233" s="50"/>
      <c r="AK233" s="10"/>
      <c r="AL233" s="23">
        <f t="shared" si="221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22"/>
        <v>8.449554811120856E-3</v>
      </c>
      <c r="AS233" s="25"/>
      <c r="AT233" s="25"/>
      <c r="AU233" s="24"/>
      <c r="AV233" s="298">
        <f t="shared" si="223"/>
        <v>0.61383537787991249</v>
      </c>
      <c r="AW233" s="298"/>
      <c r="AX233" s="24">
        <f t="shared" si="224"/>
        <v>26711.361607142859</v>
      </c>
      <c r="AY233" s="308"/>
      <c r="AZ233" s="10"/>
      <c r="BA233" s="65">
        <f t="shared" si="225"/>
        <v>1474514</v>
      </c>
      <c r="BB233" s="66"/>
      <c r="BC233" s="66">
        <v>141669328</v>
      </c>
      <c r="BD233" s="66"/>
      <c r="BE233" s="66">
        <f t="shared" si="226"/>
        <v>91530</v>
      </c>
      <c r="BF233" s="66"/>
      <c r="BG233" s="144">
        <f t="shared" si="227"/>
        <v>6.2074690372556654E-2</v>
      </c>
      <c r="BH233" s="66"/>
      <c r="BI233" s="170"/>
      <c r="BJ233" s="66"/>
      <c r="BK233" s="66">
        <f t="shared" si="228"/>
        <v>11864760</v>
      </c>
      <c r="BL233" s="66"/>
      <c r="BM233" s="144">
        <f t="shared" si="229"/>
        <v>4.5494051291387269E-2</v>
      </c>
      <c r="BN233" s="65">
        <f t="shared" si="230"/>
        <v>632452.35714285716</v>
      </c>
      <c r="BO233" s="66"/>
      <c r="BP233" s="66">
        <f t="shared" si="231"/>
        <v>8840497</v>
      </c>
      <c r="BQ233" s="66"/>
      <c r="BR233" s="435">
        <f t="shared" si="232"/>
        <v>6.2402335952352367E-2</v>
      </c>
      <c r="BS233" s="66"/>
      <c r="BT233" s="75"/>
      <c r="BU233" s="170"/>
      <c r="BV233" s="1"/>
      <c r="BW233" s="61">
        <f t="shared" si="189"/>
        <v>224</v>
      </c>
    </row>
    <row r="234" spans="2:75" x14ac:dyDescent="0.3">
      <c r="B234" s="158">
        <f t="shared" si="163"/>
        <v>44134</v>
      </c>
      <c r="C234" s="61"/>
      <c r="D234" s="17">
        <v>101461</v>
      </c>
      <c r="E234" s="16"/>
      <c r="F234" s="16"/>
      <c r="G234" s="16"/>
      <c r="H234" s="16">
        <f t="shared" si="212"/>
        <v>9848936</v>
      </c>
      <c r="I234" s="16"/>
      <c r="J234" s="436">
        <f t="shared" si="213"/>
        <v>1.0408952061944247E-2</v>
      </c>
      <c r="K234" s="16"/>
      <c r="L234" s="16"/>
      <c r="M234" s="16"/>
      <c r="N234" s="16">
        <f>SUM(D228:D234)</f>
        <v>559823</v>
      </c>
      <c r="O234" s="16">
        <f t="shared" si="214"/>
        <v>43773.048888888887</v>
      </c>
      <c r="P234" s="41"/>
      <c r="Q234" s="17">
        <f t="shared" si="161"/>
        <v>559823</v>
      </c>
      <c r="R234" s="16"/>
      <c r="S234" s="60">
        <f t="shared" si="162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5"/>
        <v>237771</v>
      </c>
      <c r="AB234" s="33"/>
      <c r="AC234" s="46">
        <f t="shared" si="216"/>
        <v>2.4141795621374737E-2</v>
      </c>
      <c r="AD234" s="33"/>
      <c r="AE234" s="33">
        <f t="shared" si="217"/>
        <v>1056.76</v>
      </c>
      <c r="AF234" s="50"/>
      <c r="AG234" s="33">
        <f t="shared" si="218"/>
        <v>5859</v>
      </c>
      <c r="AH234" s="33">
        <f t="shared" si="219"/>
        <v>1145462321.060914</v>
      </c>
      <c r="AI234" s="213">
        <f t="shared" si="220"/>
        <v>4.9811861673535206E-2</v>
      </c>
      <c r="AJ234" s="50"/>
      <c r="AK234" s="10"/>
      <c r="AL234" s="23">
        <f t="shared" si="221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22"/>
        <v>6.8802651359732726E-3</v>
      </c>
      <c r="AS234" s="25"/>
      <c r="AT234" s="25"/>
      <c r="AU234" s="24"/>
      <c r="AV234" s="298">
        <f t="shared" si="223"/>
        <v>0.61169165887563892</v>
      </c>
      <c r="AW234" s="298"/>
      <c r="AX234" s="24">
        <f t="shared" si="224"/>
        <v>26775.608888888888</v>
      </c>
      <c r="AY234" s="308"/>
      <c r="AZ234" s="10"/>
      <c r="BA234" s="65">
        <f t="shared" si="225"/>
        <v>1281025</v>
      </c>
      <c r="BB234" s="66"/>
      <c r="BC234" s="66">
        <v>142950353</v>
      </c>
      <c r="BD234" s="66"/>
      <c r="BE234" s="66">
        <f t="shared" si="226"/>
        <v>101461</v>
      </c>
      <c r="BF234" s="66"/>
      <c r="BG234" s="144">
        <f t="shared" si="227"/>
        <v>7.9202981987080659E-2</v>
      </c>
      <c r="BH234" s="66"/>
      <c r="BI234" s="170"/>
      <c r="BJ234" s="66"/>
      <c r="BK234" s="66">
        <f t="shared" si="228"/>
        <v>11893640</v>
      </c>
      <c r="BL234" s="66"/>
      <c r="BM234" s="144">
        <f t="shared" si="229"/>
        <v>4.7069105841441305E-2</v>
      </c>
      <c r="BN234" s="65">
        <f t="shared" si="230"/>
        <v>635334.90222222218</v>
      </c>
      <c r="BO234" s="66"/>
      <c r="BP234" s="66">
        <f t="shared" si="231"/>
        <v>8941958</v>
      </c>
      <c r="BQ234" s="66"/>
      <c r="BR234" s="435">
        <f t="shared" si="232"/>
        <v>6.2552892051969955E-2</v>
      </c>
      <c r="BS234" s="66"/>
      <c r="BT234" s="75"/>
      <c r="BU234" s="170"/>
      <c r="BV234" s="1"/>
      <c r="BW234" s="61">
        <f t="shared" si="189"/>
        <v>225</v>
      </c>
    </row>
    <row r="235" spans="2:75" x14ac:dyDescent="0.3">
      <c r="B235" s="158">
        <f t="shared" si="163"/>
        <v>44135</v>
      </c>
      <c r="C235" s="61"/>
      <c r="D235" s="17">
        <v>86293</v>
      </c>
      <c r="E235" s="16"/>
      <c r="F235" s="16"/>
      <c r="G235" s="16"/>
      <c r="H235" s="16">
        <f t="shared" si="212"/>
        <v>9935229</v>
      </c>
      <c r="I235" s="16"/>
      <c r="J235" s="436">
        <f t="shared" si="213"/>
        <v>8.7616570967665956E-3</v>
      </c>
      <c r="K235" s="16"/>
      <c r="L235" s="16"/>
      <c r="M235" s="16"/>
      <c r="N235" s="16">
        <f>SUM(D205:D235)</f>
        <v>1906897</v>
      </c>
      <c r="O235" s="16">
        <f t="shared" si="214"/>
        <v>43961.190265486723</v>
      </c>
      <c r="P235" s="41"/>
      <c r="Q235" s="17">
        <f t="shared" si="161"/>
        <v>566667</v>
      </c>
      <c r="R235" s="16"/>
      <c r="S235" s="60">
        <f t="shared" si="162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5"/>
        <v>238685</v>
      </c>
      <c r="AB235" s="33"/>
      <c r="AC235" s="46">
        <f t="shared" si="216"/>
        <v>2.4024106540473298E-2</v>
      </c>
      <c r="AD235" s="33"/>
      <c r="AE235" s="33">
        <f t="shared" si="217"/>
        <v>1056.1283185840707</v>
      </c>
      <c r="AF235" s="50"/>
      <c r="AG235" s="33">
        <f t="shared" si="218"/>
        <v>5989</v>
      </c>
      <c r="AH235" s="33">
        <f t="shared" si="219"/>
        <v>1145414932.060914</v>
      </c>
      <c r="AI235" s="213">
        <f t="shared" si="220"/>
        <v>4.5748210232233279E-2</v>
      </c>
      <c r="AJ235" s="50"/>
      <c r="AK235" s="10"/>
      <c r="AL235" s="23">
        <f t="shared" si="221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22"/>
        <v>6.2952816759266148E-3</v>
      </c>
      <c r="AS235" s="25"/>
      <c r="AT235" s="25"/>
      <c r="AU235" s="24"/>
      <c r="AV235" s="298">
        <f t="shared" si="223"/>
        <v>0.61019610116686795</v>
      </c>
      <c r="AW235" s="298"/>
      <c r="AX235" s="24">
        <f t="shared" si="224"/>
        <v>26824.946902654869</v>
      </c>
      <c r="AY235" s="308"/>
      <c r="AZ235" s="10"/>
      <c r="BA235" s="65">
        <f t="shared" si="225"/>
        <v>1235921</v>
      </c>
      <c r="BB235" s="66"/>
      <c r="BC235" s="66">
        <v>144186274</v>
      </c>
      <c r="BD235" s="66"/>
      <c r="BE235" s="66">
        <f t="shared" si="226"/>
        <v>86293</v>
      </c>
      <c r="BF235" s="66"/>
      <c r="BG235" s="144">
        <f t="shared" si="227"/>
        <v>6.9820805698746116E-2</v>
      </c>
      <c r="BH235" s="66"/>
      <c r="BI235" s="170"/>
      <c r="BJ235" s="66"/>
      <c r="BK235" s="66">
        <f t="shared" si="228"/>
        <v>11977781</v>
      </c>
      <c r="BL235" s="66"/>
      <c r="BM235" s="144">
        <f t="shared" si="229"/>
        <v>4.7309848126293179E-2</v>
      </c>
      <c r="BN235" s="65">
        <f t="shared" si="230"/>
        <v>637992.36283185845</v>
      </c>
      <c r="BO235" s="66"/>
      <c r="BP235" s="66">
        <f t="shared" si="231"/>
        <v>9028251</v>
      </c>
      <c r="BQ235" s="66"/>
      <c r="BR235" s="435">
        <f t="shared" si="232"/>
        <v>6.2615190402936685E-2</v>
      </c>
      <c r="BS235" s="66"/>
      <c r="BT235" s="75"/>
      <c r="BU235" s="170"/>
      <c r="BV235" s="1"/>
      <c r="BW235" s="61">
        <f t="shared" si="189"/>
        <v>226</v>
      </c>
    </row>
    <row r="236" spans="2:75" x14ac:dyDescent="0.3">
      <c r="B236" s="347">
        <f t="shared" si="163"/>
        <v>44136</v>
      </c>
      <c r="C236" s="61"/>
      <c r="D236" s="17">
        <v>71321</v>
      </c>
      <c r="E236" s="16"/>
      <c r="F236" s="16"/>
      <c r="G236" s="16"/>
      <c r="H236" s="16">
        <f t="shared" si="212"/>
        <v>10006550</v>
      </c>
      <c r="I236" s="16"/>
      <c r="J236" s="436">
        <f t="shared" si="213"/>
        <v>7.178596487307942E-3</v>
      </c>
      <c r="K236" s="16"/>
      <c r="L236" s="16"/>
      <c r="M236" s="16"/>
      <c r="N236" s="16">
        <f t="shared" ref="N236:N267" si="233">SUM(D230:D236)</f>
        <v>577099</v>
      </c>
      <c r="O236" s="16">
        <f t="shared" si="214"/>
        <v>44081.718061674008</v>
      </c>
      <c r="P236" s="41"/>
      <c r="Q236" s="17">
        <f t="shared" si="161"/>
        <v>577099</v>
      </c>
      <c r="R236" s="16"/>
      <c r="S236" s="60">
        <f t="shared" si="162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5"/>
        <v>239084</v>
      </c>
      <c r="AB236" s="33"/>
      <c r="AC236" s="46">
        <f t="shared" si="216"/>
        <v>2.3892750248587176E-2</v>
      </c>
      <c r="AD236" s="33"/>
      <c r="AE236" s="33">
        <f t="shared" si="217"/>
        <v>1053.2334801762115</v>
      </c>
      <c r="AF236" s="50"/>
      <c r="AG236" s="33">
        <f t="shared" si="218"/>
        <v>5946</v>
      </c>
      <c r="AH236" s="33">
        <f t="shared" si="219"/>
        <v>1145363529.060914</v>
      </c>
      <c r="AI236" s="213">
        <f t="shared" si="220"/>
        <v>3.9328788673308863E-2</v>
      </c>
      <c r="AJ236" s="50"/>
      <c r="AK236" s="348"/>
      <c r="AL236" s="23">
        <f t="shared" si="221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22"/>
        <v>6.7905024348290238E-3</v>
      </c>
      <c r="AS236" s="25"/>
      <c r="AT236" s="25"/>
      <c r="AU236" s="24"/>
      <c r="AV236" s="298">
        <f t="shared" si="223"/>
        <v>0.60996097556100759</v>
      </c>
      <c r="AW236" s="298"/>
      <c r="AX236" s="24">
        <f t="shared" si="224"/>
        <v>26888.127753303965</v>
      </c>
      <c r="AY236" s="308"/>
      <c r="AZ236" s="348"/>
      <c r="BA236" s="65">
        <f t="shared" si="225"/>
        <v>851151</v>
      </c>
      <c r="BB236" s="66"/>
      <c r="BC236" s="66">
        <v>145037425</v>
      </c>
      <c r="BD236" s="66"/>
      <c r="BE236" s="66">
        <f t="shared" si="226"/>
        <v>71321</v>
      </c>
      <c r="BF236" s="66"/>
      <c r="BG236" s="144">
        <f t="shared" si="227"/>
        <v>8.3793592441294196E-2</v>
      </c>
      <c r="BH236" s="66"/>
      <c r="BI236" s="170"/>
      <c r="BJ236" s="66"/>
      <c r="BK236" s="66">
        <f t="shared" si="228"/>
        <v>11808097</v>
      </c>
      <c r="BL236" s="66"/>
      <c r="BM236" s="144">
        <f t="shared" si="229"/>
        <v>4.8873158816361346E-2</v>
      </c>
      <c r="BN236" s="65">
        <f t="shared" si="230"/>
        <v>638931.38766519818</v>
      </c>
      <c r="BO236" s="66"/>
      <c r="BP236" s="66">
        <f t="shared" si="231"/>
        <v>9099572</v>
      </c>
      <c r="BQ236" s="66"/>
      <c r="BR236" s="435">
        <f t="shared" si="232"/>
        <v>6.2739475690498508E-2</v>
      </c>
      <c r="BS236" s="66"/>
      <c r="BT236" s="75"/>
      <c r="BU236" s="170"/>
      <c r="BV236" s="1"/>
      <c r="BW236" s="61">
        <f t="shared" si="189"/>
        <v>227</v>
      </c>
    </row>
    <row r="237" spans="2:75" x14ac:dyDescent="0.3">
      <c r="B237" s="158">
        <f t="shared" si="163"/>
        <v>44137</v>
      </c>
      <c r="C237" s="61"/>
      <c r="D237" s="17">
        <v>88905</v>
      </c>
      <c r="E237" s="16"/>
      <c r="F237" s="16"/>
      <c r="G237" s="16"/>
      <c r="H237" s="16">
        <f t="shared" si="212"/>
        <v>10095455</v>
      </c>
      <c r="I237" s="16"/>
      <c r="J237" s="436">
        <f t="shared" si="213"/>
        <v>8.8846805342500668E-3</v>
      </c>
      <c r="K237" s="16"/>
      <c r="L237" s="16"/>
      <c r="M237" s="16"/>
      <c r="N237" s="16">
        <f t="shared" si="233"/>
        <v>596163</v>
      </c>
      <c r="O237" s="16">
        <f t="shared" si="214"/>
        <v>44278.311403508771</v>
      </c>
      <c r="P237" s="41"/>
      <c r="Q237" s="17">
        <f t="shared" ref="Q237:Q268" si="234">SUM(D231:D237)</f>
        <v>596163</v>
      </c>
      <c r="R237" s="16"/>
      <c r="S237" s="60">
        <f t="shared" ref="S237:S268" si="235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5"/>
        <v>239606</v>
      </c>
      <c r="AB237" s="33"/>
      <c r="AC237" s="46">
        <f t="shared" si="216"/>
        <v>2.3734046657629598E-2</v>
      </c>
      <c r="AD237" s="33"/>
      <c r="AE237" s="33">
        <f t="shared" si="217"/>
        <v>1050.9035087719299</v>
      </c>
      <c r="AF237" s="50"/>
      <c r="AG237" s="33">
        <f t="shared" si="218"/>
        <v>5939</v>
      </c>
      <c r="AH237" s="33">
        <f t="shared" si="219"/>
        <v>1145314604.060914</v>
      </c>
      <c r="AI237" s="213">
        <f t="shared" si="220"/>
        <v>2.2555096418732781E-2</v>
      </c>
      <c r="AJ237" s="50"/>
      <c r="AK237" s="10"/>
      <c r="AL237" s="23">
        <f t="shared" si="221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22"/>
        <v>1.1107697827759168E-2</v>
      </c>
      <c r="AS237" s="25"/>
      <c r="AT237" s="25"/>
      <c r="AU237" s="24"/>
      <c r="AV237" s="298">
        <f t="shared" si="223"/>
        <v>0.61130498823480472</v>
      </c>
      <c r="AW237" s="298"/>
      <c r="AX237" s="24">
        <f t="shared" si="224"/>
        <v>27067.552631578947</v>
      </c>
      <c r="AY237" s="308"/>
      <c r="AZ237" s="10"/>
      <c r="BA237" s="65">
        <f t="shared" si="225"/>
        <v>4657343</v>
      </c>
      <c r="BB237" s="66"/>
      <c r="BC237" s="66">
        <v>149694768</v>
      </c>
      <c r="BD237" s="66"/>
      <c r="BE237" s="66">
        <f t="shared" si="226"/>
        <v>88905</v>
      </c>
      <c r="BF237" s="66"/>
      <c r="BG237" s="144">
        <f t="shared" si="227"/>
        <v>1.9089210307250293E-2</v>
      </c>
      <c r="BH237" s="66"/>
      <c r="BI237" s="170"/>
      <c r="BJ237" s="66"/>
      <c r="BK237" s="66">
        <f t="shared" si="228"/>
        <v>15218676</v>
      </c>
      <c r="BL237" s="66"/>
      <c r="BM237" s="144">
        <f t="shared" si="229"/>
        <v>3.9173118607689655E-2</v>
      </c>
      <c r="BN237" s="65">
        <f t="shared" si="230"/>
        <v>656556</v>
      </c>
      <c r="BO237" s="66"/>
      <c r="BP237" s="66">
        <f t="shared" si="231"/>
        <v>9188477</v>
      </c>
      <c r="BQ237" s="66"/>
      <c r="BR237" s="435">
        <f t="shared" si="232"/>
        <v>6.1381417151466507E-2</v>
      </c>
      <c r="BS237" s="66"/>
      <c r="BT237" s="75"/>
      <c r="BU237" s="170"/>
      <c r="BV237" s="1"/>
      <c r="BW237" s="61">
        <f t="shared" si="189"/>
        <v>228</v>
      </c>
    </row>
    <row r="238" spans="2:75" x14ac:dyDescent="0.3">
      <c r="B238" s="158">
        <f t="shared" si="163"/>
        <v>44138</v>
      </c>
      <c r="C238" s="61"/>
      <c r="D238" s="17">
        <v>94467</v>
      </c>
      <c r="E238" s="16"/>
      <c r="F238" s="16"/>
      <c r="G238" s="16"/>
      <c r="H238" s="16">
        <f t="shared" si="212"/>
        <v>10189922</v>
      </c>
      <c r="I238" s="16"/>
      <c r="J238" s="436">
        <f t="shared" si="213"/>
        <v>9.357379137443533E-3</v>
      </c>
      <c r="K238" s="16"/>
      <c r="L238" s="16"/>
      <c r="M238" s="16"/>
      <c r="N238" s="16">
        <f t="shared" si="233"/>
        <v>615558</v>
      </c>
      <c r="O238" s="16">
        <f t="shared" si="214"/>
        <v>44497.475982532749</v>
      </c>
      <c r="P238" s="41"/>
      <c r="Q238" s="17">
        <f t="shared" si="234"/>
        <v>615558</v>
      </c>
      <c r="R238" s="16"/>
      <c r="S238" s="60">
        <f t="shared" si="235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5"/>
        <v>240793</v>
      </c>
      <c r="AB238" s="33"/>
      <c r="AC238" s="46">
        <f t="shared" si="216"/>
        <v>2.3630504728102925E-2</v>
      </c>
      <c r="AD238" s="33"/>
      <c r="AE238" s="33">
        <f t="shared" si="217"/>
        <v>1051.4978165938865</v>
      </c>
      <c r="AF238" s="50"/>
      <c r="AG238" s="33">
        <f t="shared" si="218"/>
        <v>6087</v>
      </c>
      <c r="AH238" s="33">
        <f t="shared" si="219"/>
        <v>1145280538.060914</v>
      </c>
      <c r="AI238" s="213">
        <f t="shared" si="220"/>
        <v>3.2569974554707379E-2</v>
      </c>
      <c r="AJ238" s="50"/>
      <c r="AK238" s="10"/>
      <c r="AL238" s="23">
        <f t="shared" si="221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22"/>
        <v>1.0494860001017597E-2</v>
      </c>
      <c r="AS238" s="25"/>
      <c r="AT238" s="25"/>
      <c r="AU238" s="24"/>
      <c r="AV238" s="298">
        <f t="shared" si="223"/>
        <v>0.61199388964900814</v>
      </c>
      <c r="AW238" s="298"/>
      <c r="AX238" s="24">
        <f t="shared" si="224"/>
        <v>27232.183406113538</v>
      </c>
      <c r="AY238" s="308"/>
      <c r="AZ238" s="10"/>
      <c r="BA238" s="65">
        <f t="shared" si="225"/>
        <v>1154241</v>
      </c>
      <c r="BB238" s="66"/>
      <c r="BC238" s="66">
        <v>150849009</v>
      </c>
      <c r="BD238" s="66"/>
      <c r="BE238" s="66">
        <f t="shared" si="226"/>
        <v>94467</v>
      </c>
      <c r="BF238" s="66"/>
      <c r="BG238" s="144">
        <f t="shared" si="227"/>
        <v>8.1843393190850086E-2</v>
      </c>
      <c r="BH238" s="66"/>
      <c r="BI238" s="170"/>
      <c r="BJ238" s="66"/>
      <c r="BK238" s="66">
        <f t="shared" si="228"/>
        <v>15424076</v>
      </c>
      <c r="BL238" s="66"/>
      <c r="BM238" s="144">
        <f t="shared" si="229"/>
        <v>3.9908906050514795E-2</v>
      </c>
      <c r="BN238" s="65">
        <f t="shared" si="230"/>
        <v>658729.29694323149</v>
      </c>
      <c r="BO238" s="66"/>
      <c r="BP238" s="66">
        <f t="shared" si="231"/>
        <v>9282944</v>
      </c>
      <c r="BQ238" s="66"/>
      <c r="BR238" s="435">
        <f t="shared" si="232"/>
        <v>6.1537984647946874E-2</v>
      </c>
      <c r="BS238" s="66"/>
      <c r="BT238" s="75"/>
      <c r="BU238" s="170"/>
      <c r="BV238" s="1"/>
      <c r="BW238" s="61">
        <f t="shared" si="189"/>
        <v>229</v>
      </c>
    </row>
    <row r="239" spans="2:75" x14ac:dyDescent="0.3">
      <c r="B239" s="158">
        <f t="shared" si="163"/>
        <v>44139</v>
      </c>
      <c r="C239" s="61"/>
      <c r="D239" s="17">
        <v>108389</v>
      </c>
      <c r="E239" s="16"/>
      <c r="F239" s="16"/>
      <c r="G239" s="16"/>
      <c r="H239" s="16">
        <f t="shared" si="212"/>
        <v>10298311</v>
      </c>
      <c r="I239" s="16"/>
      <c r="J239" s="436">
        <f t="shared" si="213"/>
        <v>1.0636882205771546E-2</v>
      </c>
      <c r="K239" s="16"/>
      <c r="L239" s="16"/>
      <c r="M239" s="16"/>
      <c r="N239" s="16">
        <f t="shared" si="233"/>
        <v>642366</v>
      </c>
      <c r="O239" s="16">
        <f t="shared" si="214"/>
        <v>44775.265217391301</v>
      </c>
      <c r="P239" s="41"/>
      <c r="Q239" s="17">
        <f t="shared" si="234"/>
        <v>642366</v>
      </c>
      <c r="R239" s="16"/>
      <c r="S239" s="60">
        <f t="shared" si="235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5"/>
        <v>241994</v>
      </c>
      <c r="AB239" s="33"/>
      <c r="AC239" s="46">
        <f t="shared" si="216"/>
        <v>2.3498416390804279E-2</v>
      </c>
      <c r="AD239" s="33"/>
      <c r="AE239" s="33">
        <f t="shared" si="217"/>
        <v>1052.1478260869565</v>
      </c>
      <c r="AF239" s="50"/>
      <c r="AG239" s="33">
        <f t="shared" si="218"/>
        <v>6258</v>
      </c>
      <c r="AH239" s="33">
        <f t="shared" si="219"/>
        <v>1145242821.060914</v>
      </c>
      <c r="AI239" s="213">
        <f t="shared" si="220"/>
        <v>9.7894736842105257E-2</v>
      </c>
      <c r="AJ239" s="50"/>
      <c r="AK239" s="10"/>
      <c r="AL239" s="23">
        <f t="shared" si="221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22"/>
        <v>8.9556570779821595E-3</v>
      </c>
      <c r="AS239" s="25"/>
      <c r="AT239" s="25"/>
      <c r="AU239" s="24"/>
      <c r="AV239" s="298">
        <f t="shared" si="223"/>
        <v>0.61097581923870814</v>
      </c>
      <c r="AW239" s="298"/>
      <c r="AX239" s="24">
        <f t="shared" si="224"/>
        <v>27356.604347826087</v>
      </c>
      <c r="AY239" s="308"/>
      <c r="AZ239" s="10"/>
      <c r="BA239" s="65">
        <f t="shared" si="225"/>
        <v>1201405</v>
      </c>
      <c r="BB239" s="66"/>
      <c r="BC239" s="66">
        <v>152050414</v>
      </c>
      <c r="BD239" s="66"/>
      <c r="BE239" s="66">
        <f t="shared" si="226"/>
        <v>108389</v>
      </c>
      <c r="BF239" s="66"/>
      <c r="BG239" s="144">
        <f t="shared" si="227"/>
        <v>9.0218535797670224E-2</v>
      </c>
      <c r="BH239" s="66"/>
      <c r="BI239" s="170"/>
      <c r="BJ239" s="66"/>
      <c r="BK239" s="66">
        <f t="shared" si="228"/>
        <v>11855600</v>
      </c>
      <c r="BL239" s="66"/>
      <c r="BM239" s="144">
        <f t="shared" si="229"/>
        <v>5.4182496035628733E-2</v>
      </c>
      <c r="BN239" s="65">
        <f t="shared" si="230"/>
        <v>661088.75652173918</v>
      </c>
      <c r="BO239" s="66"/>
      <c r="BP239" s="66">
        <f t="shared" si="231"/>
        <v>9391333</v>
      </c>
      <c r="BQ239" s="66"/>
      <c r="BR239" s="435">
        <f t="shared" si="232"/>
        <v>6.176459999641961E-2</v>
      </c>
      <c r="BS239" s="66"/>
      <c r="BT239" s="75"/>
      <c r="BU239" s="170"/>
      <c r="BV239" s="1"/>
      <c r="BW239" s="61">
        <f t="shared" si="189"/>
        <v>230</v>
      </c>
    </row>
    <row r="240" spans="2:75" x14ac:dyDescent="0.3">
      <c r="B240" s="158">
        <f t="shared" si="163"/>
        <v>44140</v>
      </c>
      <c r="C240" s="61"/>
      <c r="D240" s="17">
        <v>118319</v>
      </c>
      <c r="E240" s="16"/>
      <c r="F240" s="16"/>
      <c r="G240" s="16"/>
      <c r="H240" s="16">
        <f t="shared" si="212"/>
        <v>10416630</v>
      </c>
      <c r="I240" s="16"/>
      <c r="J240" s="436">
        <f t="shared" si="213"/>
        <v>1.1489165553458231E-2</v>
      </c>
      <c r="K240" s="16"/>
      <c r="L240" s="16"/>
      <c r="M240" s="16"/>
      <c r="N240" s="16">
        <f t="shared" si="233"/>
        <v>669155</v>
      </c>
      <c r="O240" s="16">
        <f t="shared" si="214"/>
        <v>45093.63636363636</v>
      </c>
      <c r="P240" s="41"/>
      <c r="Q240" s="17">
        <f t="shared" si="234"/>
        <v>669155</v>
      </c>
      <c r="R240" s="16"/>
      <c r="S240" s="60">
        <f t="shared" si="235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5"/>
        <v>243121</v>
      </c>
      <c r="AB240" s="33"/>
      <c r="AC240" s="46">
        <f t="shared" si="216"/>
        <v>2.3339698155737509E-2</v>
      </c>
      <c r="AD240" s="33"/>
      <c r="AE240" s="33">
        <f t="shared" si="217"/>
        <v>1052.4718614718615</v>
      </c>
      <c r="AF240" s="50"/>
      <c r="AG240" s="33">
        <f t="shared" si="218"/>
        <v>6338</v>
      </c>
      <c r="AH240" s="33">
        <f t="shared" si="219"/>
        <v>1145198153.060914</v>
      </c>
      <c r="AI240" s="213">
        <f t="shared" si="220"/>
        <v>9.767925181849671E-2</v>
      </c>
      <c r="AJ240" s="50"/>
      <c r="AK240" s="10"/>
      <c r="AL240" s="23">
        <f t="shared" si="221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22"/>
        <v>7.7029328741696429E-3</v>
      </c>
      <c r="AS240" s="25"/>
      <c r="AT240" s="25"/>
      <c r="AU240" s="24"/>
      <c r="AV240" s="298">
        <f t="shared" si="223"/>
        <v>0.60868879858457103</v>
      </c>
      <c r="AW240" s="298"/>
      <c r="AX240" s="24">
        <f t="shared" si="224"/>
        <v>27447.991341991343</v>
      </c>
      <c r="AY240" s="308"/>
      <c r="AZ240" s="10"/>
      <c r="BA240" s="65">
        <f t="shared" si="225"/>
        <v>1544407</v>
      </c>
      <c r="BB240" s="66"/>
      <c r="BC240" s="66">
        <v>153594821</v>
      </c>
      <c r="BD240" s="66"/>
      <c r="BE240" s="66">
        <f t="shared" si="226"/>
        <v>118319</v>
      </c>
      <c r="BF240" s="66"/>
      <c r="BG240" s="144">
        <f t="shared" si="227"/>
        <v>7.6611281870646794E-2</v>
      </c>
      <c r="BH240" s="66"/>
      <c r="BI240" s="170"/>
      <c r="BJ240" s="66"/>
      <c r="BK240" s="66">
        <f t="shared" si="228"/>
        <v>11925493</v>
      </c>
      <c r="BL240" s="66"/>
      <c r="BM240" s="144">
        <f t="shared" si="229"/>
        <v>5.6111307096486492E-2</v>
      </c>
      <c r="BN240" s="65">
        <f t="shared" si="230"/>
        <v>664912.645021645</v>
      </c>
      <c r="BO240" s="66"/>
      <c r="BP240" s="66">
        <f t="shared" si="231"/>
        <v>9509652</v>
      </c>
      <c r="BQ240" s="66"/>
      <c r="BR240" s="435">
        <f t="shared" si="232"/>
        <v>6.1913884453174368E-2</v>
      </c>
      <c r="BS240" s="66"/>
      <c r="BT240" s="75"/>
      <c r="BU240" s="170"/>
      <c r="BV240" s="1"/>
      <c r="BW240" s="61">
        <f t="shared" si="189"/>
        <v>231</v>
      </c>
    </row>
    <row r="241" spans="2:75" x14ac:dyDescent="0.3">
      <c r="B241" s="158">
        <f t="shared" si="163"/>
        <v>44141</v>
      </c>
      <c r="C241" s="61"/>
      <c r="D241" s="17">
        <v>132541</v>
      </c>
      <c r="E241" s="16"/>
      <c r="F241" s="16"/>
      <c r="G241" s="16"/>
      <c r="H241" s="16">
        <f t="shared" si="212"/>
        <v>10549171</v>
      </c>
      <c r="I241" s="16"/>
      <c r="J241" s="436">
        <f t="shared" si="213"/>
        <v>1.2723980788412375E-2</v>
      </c>
      <c r="K241" s="16"/>
      <c r="L241" s="16"/>
      <c r="M241" s="16"/>
      <c r="N241" s="16">
        <f t="shared" si="233"/>
        <v>700235</v>
      </c>
      <c r="O241" s="16">
        <f t="shared" si="214"/>
        <v>45470.564655172413</v>
      </c>
      <c r="P241" s="41"/>
      <c r="Q241" s="17">
        <f t="shared" si="234"/>
        <v>700235</v>
      </c>
      <c r="R241" s="16"/>
      <c r="S241" s="60">
        <f t="shared" si="235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5"/>
        <v>244365</v>
      </c>
      <c r="AB241" s="33"/>
      <c r="AC241" s="46">
        <f t="shared" si="216"/>
        <v>2.3164379456926048E-2</v>
      </c>
      <c r="AD241" s="33"/>
      <c r="AE241" s="33">
        <f t="shared" si="217"/>
        <v>1053.2974137931035</v>
      </c>
      <c r="AF241" s="50"/>
      <c r="AG241" s="33">
        <f t="shared" si="218"/>
        <v>6594</v>
      </c>
      <c r="AH241" s="33">
        <f t="shared" si="219"/>
        <v>1145148795.060914</v>
      </c>
      <c r="AI241" s="213">
        <f t="shared" si="220"/>
        <v>0.12544802867383512</v>
      </c>
      <c r="AJ241" s="50"/>
      <c r="AK241" s="10"/>
      <c r="AL241" s="23">
        <f t="shared" si="221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22"/>
        <v>7.999702231027717E-3</v>
      </c>
      <c r="AS241" s="25"/>
      <c r="AT241" s="25"/>
      <c r="AU241" s="24"/>
      <c r="AV241" s="298">
        <f t="shared" si="223"/>
        <v>0.60584931270902709</v>
      </c>
      <c r="AW241" s="298"/>
      <c r="AX241" s="24">
        <f t="shared" si="224"/>
        <v>27548.310344827587</v>
      </c>
      <c r="AY241" s="308"/>
      <c r="AZ241" s="10"/>
      <c r="BA241" s="65">
        <f t="shared" si="225"/>
        <v>1425131</v>
      </c>
      <c r="BB241" s="66"/>
      <c r="BC241" s="66">
        <v>155019952</v>
      </c>
      <c r="BD241" s="66"/>
      <c r="BE241" s="66">
        <f t="shared" si="226"/>
        <v>132541</v>
      </c>
      <c r="BF241" s="66"/>
      <c r="BG241" s="144">
        <f t="shared" si="227"/>
        <v>9.3002678350270956E-2</v>
      </c>
      <c r="BH241" s="66"/>
      <c r="BI241" s="170"/>
      <c r="BJ241" s="66"/>
      <c r="BK241" s="66">
        <f t="shared" si="228"/>
        <v>12069599</v>
      </c>
      <c r="BL241" s="66"/>
      <c r="BM241" s="144">
        <f t="shared" si="229"/>
        <v>5.8016426229239262E-2</v>
      </c>
      <c r="BN241" s="65">
        <f t="shared" si="230"/>
        <v>668189.44827586203</v>
      </c>
      <c r="BO241" s="66"/>
      <c r="BP241" s="66">
        <f t="shared" si="231"/>
        <v>9642193</v>
      </c>
      <c r="BQ241" s="66"/>
      <c r="BR241" s="435">
        <f t="shared" si="232"/>
        <v>6.219969026954672E-2</v>
      </c>
      <c r="BS241" s="66"/>
      <c r="BT241" s="75"/>
      <c r="BU241" s="170"/>
      <c r="BV241" s="1"/>
      <c r="BW241" s="61">
        <f t="shared" si="189"/>
        <v>232</v>
      </c>
    </row>
    <row r="242" spans="2:75" x14ac:dyDescent="0.3">
      <c r="B242" s="158">
        <f t="shared" si="163"/>
        <v>44142</v>
      </c>
      <c r="C242" s="61"/>
      <c r="D242" s="17">
        <v>124390</v>
      </c>
      <c r="E242" s="16"/>
      <c r="F242" s="16"/>
      <c r="G242" s="16"/>
      <c r="H242" s="16">
        <f t="shared" si="212"/>
        <v>10673561</v>
      </c>
      <c r="I242" s="16"/>
      <c r="J242" s="436">
        <f t="shared" si="213"/>
        <v>1.1791447877752669E-2</v>
      </c>
      <c r="K242" s="16"/>
      <c r="L242" s="16"/>
      <c r="M242" s="16"/>
      <c r="N242" s="16">
        <f t="shared" si="233"/>
        <v>738332</v>
      </c>
      <c r="O242" s="16">
        <f t="shared" si="214"/>
        <v>45809.274678111586</v>
      </c>
      <c r="P242" s="41"/>
      <c r="Q242" s="17">
        <f t="shared" si="234"/>
        <v>738332</v>
      </c>
      <c r="R242" s="16"/>
      <c r="S242" s="60">
        <f t="shared" si="235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5"/>
        <v>245396</v>
      </c>
      <c r="AB242" s="33"/>
      <c r="AC242" s="46">
        <f t="shared" si="216"/>
        <v>2.2991014901212446E-2</v>
      </c>
      <c r="AD242" s="33"/>
      <c r="AE242" s="33">
        <f t="shared" si="217"/>
        <v>1053.2017167381973</v>
      </c>
      <c r="AF242" s="50"/>
      <c r="AG242" s="33">
        <f t="shared" si="218"/>
        <v>6711</v>
      </c>
      <c r="AH242" s="33">
        <f t="shared" si="219"/>
        <v>1145091477.060914</v>
      </c>
      <c r="AI242" s="213">
        <f t="shared" si="220"/>
        <v>0.12055434964100852</v>
      </c>
      <c r="AJ242" s="50"/>
      <c r="AK242" s="10"/>
      <c r="AL242" s="23">
        <f t="shared" si="221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22"/>
        <v>7.9077382554283947E-3</v>
      </c>
      <c r="AS242" s="25"/>
      <c r="AT242" s="25"/>
      <c r="AU242" s="24"/>
      <c r="AV242" s="298">
        <f t="shared" si="223"/>
        <v>0.6035237911696012</v>
      </c>
      <c r="AW242" s="298"/>
      <c r="AX242" s="24">
        <f t="shared" si="224"/>
        <v>27646.987124463518</v>
      </c>
      <c r="AY242" s="308"/>
      <c r="AZ242" s="10"/>
      <c r="BA242" s="65">
        <f t="shared" si="225"/>
        <v>1534974</v>
      </c>
      <c r="BB242" s="66"/>
      <c r="BC242" s="66">
        <v>156554926</v>
      </c>
      <c r="BD242" s="66"/>
      <c r="BE242" s="66">
        <f t="shared" si="226"/>
        <v>124390</v>
      </c>
      <c r="BF242" s="66"/>
      <c r="BG242" s="144">
        <f t="shared" si="227"/>
        <v>8.1037203236015723E-2</v>
      </c>
      <c r="BH242" s="66"/>
      <c r="BI242" s="170"/>
      <c r="BJ242" s="66"/>
      <c r="BK242" s="66">
        <f t="shared" si="228"/>
        <v>12368652</v>
      </c>
      <c r="BL242" s="66"/>
      <c r="BM242" s="144">
        <f t="shared" si="229"/>
        <v>5.9693813036376157E-2</v>
      </c>
      <c r="BN242" s="65">
        <f t="shared" si="230"/>
        <v>671909.55364806869</v>
      </c>
      <c r="BO242" s="66"/>
      <c r="BP242" s="66">
        <f t="shared" si="231"/>
        <v>9766583</v>
      </c>
      <c r="BQ242" s="66"/>
      <c r="BR242" s="435">
        <f t="shared" si="232"/>
        <v>6.2384386422947816E-2</v>
      </c>
      <c r="BS242" s="66"/>
      <c r="BT242" s="75"/>
      <c r="BU242" s="170"/>
      <c r="BV242" s="1"/>
      <c r="BW242" s="61">
        <f t="shared" si="189"/>
        <v>233</v>
      </c>
    </row>
    <row r="243" spans="2:75" x14ac:dyDescent="0.3">
      <c r="B243" s="347">
        <f t="shared" si="163"/>
        <v>44143</v>
      </c>
      <c r="C243" s="61"/>
      <c r="D243" s="17">
        <v>102726</v>
      </c>
      <c r="E243" s="16"/>
      <c r="F243" s="16"/>
      <c r="G243" s="16"/>
      <c r="H243" s="16">
        <f t="shared" si="212"/>
        <v>10776287</v>
      </c>
      <c r="I243" s="16"/>
      <c r="J243" s="436">
        <f t="shared" si="213"/>
        <v>9.6243418667865399E-3</v>
      </c>
      <c r="K243" s="16"/>
      <c r="L243" s="16"/>
      <c r="M243" s="16"/>
      <c r="N243" s="16">
        <f t="shared" si="233"/>
        <v>769737</v>
      </c>
      <c r="O243" s="16">
        <f t="shared" si="214"/>
        <v>46052.508547008547</v>
      </c>
      <c r="P243" s="41"/>
      <c r="Q243" s="17">
        <f t="shared" si="234"/>
        <v>769737</v>
      </c>
      <c r="R243" s="16"/>
      <c r="S243" s="60">
        <f t="shared" si="235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5"/>
        <v>245908</v>
      </c>
      <c r="AB243" s="33"/>
      <c r="AC243" s="46">
        <f t="shared" si="216"/>
        <v>2.2819362550384935E-2</v>
      </c>
      <c r="AD243" s="33"/>
      <c r="AE243" s="33">
        <f t="shared" si="217"/>
        <v>1050.8888888888889</v>
      </c>
      <c r="AF243" s="50"/>
      <c r="AG243" s="33">
        <f t="shared" si="218"/>
        <v>6824</v>
      </c>
      <c r="AH243" s="33">
        <f t="shared" si="219"/>
        <v>1145030494.060914</v>
      </c>
      <c r="AI243" s="213">
        <f t="shared" si="220"/>
        <v>0.14766229397914565</v>
      </c>
      <c r="AJ243" s="50"/>
      <c r="AK243" s="348"/>
      <c r="AL243" s="23">
        <f t="shared" si="221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22"/>
        <v>6.4690515679905513E-3</v>
      </c>
      <c r="AS243" s="25"/>
      <c r="AT243" s="25"/>
      <c r="AU243" s="24"/>
      <c r="AV243" s="298">
        <f t="shared" si="223"/>
        <v>0.60163765126151525</v>
      </c>
      <c r="AW243" s="298"/>
      <c r="AX243" s="24">
        <f t="shared" si="224"/>
        <v>27706.923076923078</v>
      </c>
      <c r="AY243" s="308"/>
      <c r="AZ243" s="348"/>
      <c r="BA243" s="65">
        <f t="shared" si="225"/>
        <v>1047931</v>
      </c>
      <c r="BB243" s="66"/>
      <c r="BC243" s="66">
        <v>157602857</v>
      </c>
      <c r="BD243" s="66"/>
      <c r="BE243" s="66">
        <f t="shared" si="226"/>
        <v>102726</v>
      </c>
      <c r="BF243" s="66"/>
      <c r="BG243" s="144">
        <f t="shared" si="227"/>
        <v>9.8027446463555323E-2</v>
      </c>
      <c r="BH243" s="66"/>
      <c r="BI243" s="170"/>
      <c r="BJ243" s="66"/>
      <c r="BK243" s="66">
        <f t="shared" si="228"/>
        <v>12565432</v>
      </c>
      <c r="BL243" s="66"/>
      <c r="BM243" s="144">
        <f t="shared" si="229"/>
        <v>6.1258299754437411E-2</v>
      </c>
      <c r="BN243" s="65">
        <f t="shared" si="230"/>
        <v>673516.48290598288</v>
      </c>
      <c r="BO243" s="66"/>
      <c r="BP243" s="66">
        <f t="shared" si="231"/>
        <v>9869309</v>
      </c>
      <c r="BQ243" s="66"/>
      <c r="BR243" s="435">
        <f t="shared" si="232"/>
        <v>6.2621383824279273E-2</v>
      </c>
      <c r="BS243" s="66"/>
      <c r="BT243" s="75"/>
      <c r="BU243" s="170"/>
      <c r="BV243" s="1"/>
      <c r="BW243" s="61">
        <f t="shared" si="189"/>
        <v>234</v>
      </c>
    </row>
    <row r="244" spans="2:75" x14ac:dyDescent="0.3">
      <c r="B244" s="158">
        <f t="shared" si="163"/>
        <v>44144</v>
      </c>
      <c r="C244" s="61"/>
      <c r="D244" s="17">
        <v>125689</v>
      </c>
      <c r="E244" s="16"/>
      <c r="F244" s="16"/>
      <c r="G244" s="16"/>
      <c r="H244" s="16">
        <f t="shared" si="212"/>
        <v>10901976</v>
      </c>
      <c r="I244" s="16"/>
      <c r="J244" s="436">
        <f t="shared" si="213"/>
        <v>1.1663479267023977E-2</v>
      </c>
      <c r="K244" s="16"/>
      <c r="L244" s="16"/>
      <c r="M244" s="16"/>
      <c r="N244" s="16">
        <f t="shared" si="233"/>
        <v>806521</v>
      </c>
      <c r="O244" s="16">
        <f t="shared" si="214"/>
        <v>46391.387234042551</v>
      </c>
      <c r="P244" s="41"/>
      <c r="Q244" s="17">
        <f t="shared" si="234"/>
        <v>806521</v>
      </c>
      <c r="R244" s="16"/>
      <c r="S244" s="60">
        <f t="shared" si="235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5"/>
        <v>246549</v>
      </c>
      <c r="AB244" s="33"/>
      <c r="AC244" s="46">
        <f t="shared" si="216"/>
        <v>2.2615074551622569E-2</v>
      </c>
      <c r="AD244" s="33"/>
      <c r="AE244" s="33">
        <f t="shared" si="217"/>
        <v>1049.1446808510639</v>
      </c>
      <c r="AF244" s="50"/>
      <c r="AG244" s="33">
        <f t="shared" si="218"/>
        <v>6943</v>
      </c>
      <c r="AH244" s="33">
        <f t="shared" si="219"/>
        <v>1144976259.060914</v>
      </c>
      <c r="AI244" s="213">
        <f t="shared" si="220"/>
        <v>0.16905202896110455</v>
      </c>
      <c r="AJ244" s="50"/>
      <c r="AK244" s="10"/>
      <c r="AL244" s="23">
        <f t="shared" si="221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22"/>
        <v>1.0671836777503231E-2</v>
      </c>
      <c r="AS244" s="25"/>
      <c r="AT244" s="25"/>
      <c r="AU244" s="24"/>
      <c r="AV244" s="298">
        <f t="shared" si="223"/>
        <v>0.60104792012016905</v>
      </c>
      <c r="AW244" s="298"/>
      <c r="AX244" s="24">
        <f t="shared" si="224"/>
        <v>27883.446808510638</v>
      </c>
      <c r="AY244" s="308"/>
      <c r="AZ244" s="10"/>
      <c r="BA244" s="65">
        <f t="shared" si="225"/>
        <v>1681256</v>
      </c>
      <c r="BB244" s="66"/>
      <c r="BC244" s="66">
        <v>159284113</v>
      </c>
      <c r="BD244" s="66"/>
      <c r="BE244" s="66">
        <f t="shared" si="226"/>
        <v>125689</v>
      </c>
      <c r="BF244" s="66"/>
      <c r="BG244" s="144">
        <f t="shared" si="227"/>
        <v>7.475898970769472E-2</v>
      </c>
      <c r="BH244" s="66"/>
      <c r="BI244" s="170"/>
      <c r="BJ244" s="66"/>
      <c r="BK244" s="66">
        <f t="shared" si="228"/>
        <v>9589345</v>
      </c>
      <c r="BL244" s="66"/>
      <c r="BM244" s="144">
        <f t="shared" si="229"/>
        <v>8.4105953013474857E-2</v>
      </c>
      <c r="BN244" s="65">
        <f t="shared" si="230"/>
        <v>677804.73617021274</v>
      </c>
      <c r="BO244" s="66"/>
      <c r="BP244" s="66">
        <f t="shared" si="231"/>
        <v>9994998</v>
      </c>
      <c r="BQ244" s="66"/>
      <c r="BR244" s="435">
        <f t="shared" si="232"/>
        <v>6.2749497183061817E-2</v>
      </c>
      <c r="BS244" s="66"/>
      <c r="BT244" s="75"/>
      <c r="BU244" s="170"/>
      <c r="BV244" s="1"/>
      <c r="BW244" s="61">
        <f t="shared" si="189"/>
        <v>235</v>
      </c>
    </row>
    <row r="245" spans="2:75" x14ac:dyDescent="0.3">
      <c r="B245" s="158">
        <f t="shared" si="163"/>
        <v>44145</v>
      </c>
      <c r="C245" s="61"/>
      <c r="D245" s="17">
        <v>135653</v>
      </c>
      <c r="E245" s="16"/>
      <c r="F245" s="16"/>
      <c r="G245" s="16"/>
      <c r="H245" s="16">
        <f t="shared" si="212"/>
        <v>11037629</v>
      </c>
      <c r="I245" s="16"/>
      <c r="J245" s="436">
        <f t="shared" si="213"/>
        <v>1.2442973640741825E-2</v>
      </c>
      <c r="K245" s="16"/>
      <c r="L245" s="16"/>
      <c r="M245" s="16"/>
      <c r="N245" s="16">
        <f t="shared" si="233"/>
        <v>847707</v>
      </c>
      <c r="O245" s="16">
        <f t="shared" si="214"/>
        <v>46769.614406779663</v>
      </c>
      <c r="P245" s="41"/>
      <c r="Q245" s="17">
        <f t="shared" si="234"/>
        <v>847707</v>
      </c>
      <c r="R245" s="16"/>
      <c r="S245" s="60">
        <f t="shared" si="235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5"/>
        <v>247895</v>
      </c>
      <c r="AB245" s="33"/>
      <c r="AC245" s="46">
        <f t="shared" si="216"/>
        <v>2.2459080659442351E-2</v>
      </c>
      <c r="AD245" s="33"/>
      <c r="AE245" s="33">
        <f t="shared" si="217"/>
        <v>1050.4025423728813</v>
      </c>
      <c r="AF245" s="50"/>
      <c r="AG245" s="33">
        <f t="shared" si="218"/>
        <v>7102</v>
      </c>
      <c r="AH245" s="33">
        <f t="shared" si="219"/>
        <v>1144934324.060914</v>
      </c>
      <c r="AI245" s="213">
        <f t="shared" si="220"/>
        <v>0.16674880893707902</v>
      </c>
      <c r="AJ245" s="50"/>
      <c r="AK245" s="10"/>
      <c r="AL245" s="23">
        <f t="shared" si="221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22"/>
        <v>7.4364260958610382E-3</v>
      </c>
      <c r="AS245" s="25"/>
      <c r="AT245" s="25"/>
      <c r="AU245" s="24"/>
      <c r="AV245" s="298">
        <f t="shared" si="223"/>
        <v>0.59807572803905618</v>
      </c>
      <c r="AW245" s="298"/>
      <c r="AX245" s="24">
        <f t="shared" si="224"/>
        <v>27971.771186440677</v>
      </c>
      <c r="AY245" s="308"/>
      <c r="AZ245" s="10"/>
      <c r="BA245" s="65">
        <f t="shared" si="225"/>
        <v>1311466</v>
      </c>
      <c r="BB245" s="66"/>
      <c r="BC245" s="66">
        <v>160595579</v>
      </c>
      <c r="BD245" s="66"/>
      <c r="BE245" s="66">
        <f t="shared" si="226"/>
        <v>135653</v>
      </c>
      <c r="BF245" s="66"/>
      <c r="BG245" s="144">
        <f t="shared" si="227"/>
        <v>0.10343615465440964</v>
      </c>
      <c r="BH245" s="66"/>
      <c r="BI245" s="170"/>
      <c r="BJ245" s="66"/>
      <c r="BK245" s="66">
        <f t="shared" si="228"/>
        <v>9746570</v>
      </c>
      <c r="BL245" s="66"/>
      <c r="BM245" s="144">
        <f t="shared" si="229"/>
        <v>8.6974905017867823E-2</v>
      </c>
      <c r="BN245" s="65">
        <f t="shared" si="230"/>
        <v>680489.74152542371</v>
      </c>
      <c r="BO245" s="66"/>
      <c r="BP245" s="66">
        <f t="shared" si="231"/>
        <v>10130651</v>
      </c>
      <c r="BQ245" s="66"/>
      <c r="BR245" s="435">
        <f t="shared" si="232"/>
        <v>6.3081755195764144E-2</v>
      </c>
      <c r="BS245" s="66"/>
      <c r="BT245" s="75"/>
      <c r="BU245" s="170"/>
      <c r="BV245" s="1"/>
      <c r="BW245" s="61">
        <f t="shared" si="189"/>
        <v>236</v>
      </c>
    </row>
    <row r="246" spans="2:75" x14ac:dyDescent="0.3">
      <c r="B246" s="158">
        <f t="shared" si="163"/>
        <v>44146</v>
      </c>
      <c r="C246" s="61"/>
      <c r="D246" s="17">
        <v>142906</v>
      </c>
      <c r="E246" s="16"/>
      <c r="F246" s="16"/>
      <c r="G246" s="16"/>
      <c r="H246" s="16">
        <f t="shared" si="212"/>
        <v>11180535</v>
      </c>
      <c r="I246" s="16"/>
      <c r="J246" s="436">
        <f t="shared" si="213"/>
        <v>1.2947164649219502E-2</v>
      </c>
      <c r="K246" s="16"/>
      <c r="L246" s="16"/>
      <c r="M246" s="16"/>
      <c r="N246" s="16">
        <f t="shared" si="233"/>
        <v>882224</v>
      </c>
      <c r="O246" s="16">
        <f t="shared" si="214"/>
        <v>47175.253164556962</v>
      </c>
      <c r="P246" s="41"/>
      <c r="Q246" s="17">
        <f t="shared" si="234"/>
        <v>882224</v>
      </c>
      <c r="R246" s="16"/>
      <c r="S246" s="60">
        <f t="shared" si="235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5"/>
        <v>249365</v>
      </c>
      <c r="AB246" s="33"/>
      <c r="AC246" s="46">
        <f t="shared" si="216"/>
        <v>2.2303494421331359E-2</v>
      </c>
      <c r="AD246" s="33"/>
      <c r="AE246" s="33">
        <f t="shared" si="217"/>
        <v>1052.1729957805908</v>
      </c>
      <c r="AF246" s="50"/>
      <c r="AG246" s="33">
        <f t="shared" si="218"/>
        <v>7371</v>
      </c>
      <c r="AH246" s="33">
        <f t="shared" si="219"/>
        <v>1144888533.060914</v>
      </c>
      <c r="AI246" s="213">
        <f t="shared" si="220"/>
        <v>0.17785234899328858</v>
      </c>
      <c r="AJ246" s="50"/>
      <c r="AK246" s="10"/>
      <c r="AL246" s="23">
        <f t="shared" si="221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22"/>
        <v>7.1753635399369039E-3</v>
      </c>
      <c r="AS246" s="25"/>
      <c r="AT246" s="25"/>
      <c r="AU246" s="24"/>
      <c r="AV246" s="298">
        <f t="shared" si="223"/>
        <v>0.59466787591112591</v>
      </c>
      <c r="AW246" s="298"/>
      <c r="AX246" s="24">
        <f t="shared" si="224"/>
        <v>28053.607594936708</v>
      </c>
      <c r="AY246" s="308"/>
      <c r="AZ246" s="10"/>
      <c r="BA246" s="65">
        <f t="shared" si="225"/>
        <v>1321988</v>
      </c>
      <c r="BB246" s="66"/>
      <c r="BC246" s="66">
        <v>161917567</v>
      </c>
      <c r="BD246" s="66"/>
      <c r="BE246" s="66">
        <f t="shared" si="226"/>
        <v>142906</v>
      </c>
      <c r="BF246" s="66"/>
      <c r="BG246" s="144">
        <f t="shared" si="227"/>
        <v>0.10809931708911125</v>
      </c>
      <c r="BH246" s="66"/>
      <c r="BI246" s="170"/>
      <c r="BJ246" s="66"/>
      <c r="BK246" s="66">
        <f t="shared" si="228"/>
        <v>9867153</v>
      </c>
      <c r="BL246" s="66"/>
      <c r="BM246" s="144">
        <f t="shared" si="229"/>
        <v>8.9410187518121992E-2</v>
      </c>
      <c r="BN246" s="65">
        <f t="shared" si="230"/>
        <v>683196.48523206753</v>
      </c>
      <c r="BO246" s="66"/>
      <c r="BP246" s="66">
        <f t="shared" si="231"/>
        <v>10273557</v>
      </c>
      <c r="BQ246" s="66"/>
      <c r="BR246" s="435">
        <f t="shared" si="232"/>
        <v>6.3449304422910455E-2</v>
      </c>
      <c r="BS246" s="66"/>
      <c r="BT246" s="75"/>
      <c r="BU246" s="170"/>
      <c r="BV246" s="1"/>
      <c r="BW246" s="61">
        <f t="shared" si="189"/>
        <v>237</v>
      </c>
    </row>
    <row r="247" spans="2:75" x14ac:dyDescent="0.3">
      <c r="B247" s="158">
        <f t="shared" si="163"/>
        <v>44147</v>
      </c>
      <c r="C247" s="61"/>
      <c r="D247" s="17">
        <v>161541</v>
      </c>
      <c r="E247" s="16"/>
      <c r="F247" s="16"/>
      <c r="G247" s="16"/>
      <c r="H247" s="16">
        <f t="shared" si="212"/>
        <v>11342076</v>
      </c>
      <c r="I247" s="16"/>
      <c r="J247" s="436">
        <f t="shared" si="213"/>
        <v>1.4448414141183762E-2</v>
      </c>
      <c r="K247" s="16"/>
      <c r="L247" s="16"/>
      <c r="M247" s="16"/>
      <c r="N247" s="16">
        <f t="shared" si="233"/>
        <v>925446</v>
      </c>
      <c r="O247" s="16">
        <f t="shared" si="214"/>
        <v>47655.781512605041</v>
      </c>
      <c r="P247" s="41"/>
      <c r="Q247" s="17">
        <f t="shared" si="234"/>
        <v>925446</v>
      </c>
      <c r="R247" s="16"/>
      <c r="S247" s="60">
        <f t="shared" si="235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5"/>
        <v>250555</v>
      </c>
      <c r="AB247" s="33"/>
      <c r="AC247" s="46">
        <f t="shared" si="216"/>
        <v>2.2090753050852417E-2</v>
      </c>
      <c r="AD247" s="33"/>
      <c r="AE247" s="33">
        <f t="shared" si="217"/>
        <v>1052.7521008403362</v>
      </c>
      <c r="AF247" s="50"/>
      <c r="AG247" s="33">
        <f t="shared" si="218"/>
        <v>7434</v>
      </c>
      <c r="AH247" s="33">
        <f t="shared" si="219"/>
        <v>1144836999.060914</v>
      </c>
      <c r="AI247" s="213">
        <f t="shared" si="220"/>
        <v>0.17292521300094668</v>
      </c>
      <c r="AJ247" s="50"/>
      <c r="AK247" s="10"/>
      <c r="AL247" s="23">
        <f t="shared" si="221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22"/>
        <v>1.1944431283986881E-2</v>
      </c>
      <c r="AS247" s="25"/>
      <c r="AT247" s="25"/>
      <c r="AU247" s="24"/>
      <c r="AV247" s="298">
        <f t="shared" si="223"/>
        <v>0.59320004556485073</v>
      </c>
      <c r="AW247" s="298"/>
      <c r="AX247" s="24">
        <f t="shared" si="224"/>
        <v>28269.411764705881</v>
      </c>
      <c r="AY247" s="308"/>
      <c r="AZ247" s="10"/>
      <c r="BA247" s="65">
        <f t="shared" si="225"/>
        <v>1537138</v>
      </c>
      <c r="BB247" s="66"/>
      <c r="BC247" s="66">
        <v>163454705</v>
      </c>
      <c r="BD247" s="66"/>
      <c r="BE247" s="66">
        <f t="shared" si="226"/>
        <v>161541</v>
      </c>
      <c r="BF247" s="66"/>
      <c r="BG247" s="144">
        <f t="shared" si="227"/>
        <v>0.10509206069982005</v>
      </c>
      <c r="BH247" s="66"/>
      <c r="BI247" s="170"/>
      <c r="BJ247" s="66"/>
      <c r="BK247" s="66">
        <f t="shared" si="228"/>
        <v>9859884</v>
      </c>
      <c r="BL247" s="66"/>
      <c r="BM247" s="144">
        <f t="shared" si="229"/>
        <v>9.3859724921713072E-2</v>
      </c>
      <c r="BN247" s="65">
        <f t="shared" si="230"/>
        <v>686784.47478991596</v>
      </c>
      <c r="BO247" s="66"/>
      <c r="BP247" s="66">
        <f t="shared" si="231"/>
        <v>10435098</v>
      </c>
      <c r="BQ247" s="66"/>
      <c r="BR247" s="435">
        <f t="shared" si="232"/>
        <v>6.3840915438928475E-2</v>
      </c>
      <c r="BS247" s="66"/>
      <c r="BT247" s="75"/>
      <c r="BU247" s="170"/>
      <c r="BV247" s="1"/>
      <c r="BW247" s="61">
        <f t="shared" si="189"/>
        <v>238</v>
      </c>
    </row>
    <row r="248" spans="2:75" x14ac:dyDescent="0.3">
      <c r="B248" s="158">
        <f t="shared" si="163"/>
        <v>44148</v>
      </c>
      <c r="C248" s="61"/>
      <c r="D248" s="17">
        <v>183527</v>
      </c>
      <c r="E248" s="16"/>
      <c r="F248" s="16"/>
      <c r="G248" s="16"/>
      <c r="H248" s="16">
        <f t="shared" si="212"/>
        <v>11525603</v>
      </c>
      <c r="I248" s="16"/>
      <c r="J248" s="436">
        <f t="shared" si="213"/>
        <v>1.6181076550712586E-2</v>
      </c>
      <c r="K248" s="16"/>
      <c r="L248" s="16"/>
      <c r="M248" s="16"/>
      <c r="N248" s="16">
        <f t="shared" si="233"/>
        <v>976432</v>
      </c>
      <c r="O248" s="16">
        <f t="shared" si="214"/>
        <v>48224.280334728035</v>
      </c>
      <c r="P248" s="41"/>
      <c r="Q248" s="17">
        <f t="shared" si="234"/>
        <v>976432</v>
      </c>
      <c r="R248" s="16"/>
      <c r="S248" s="60">
        <f t="shared" si="235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5"/>
        <v>251950</v>
      </c>
      <c r="AB248" s="33"/>
      <c r="AC248" s="46">
        <f t="shared" si="216"/>
        <v>2.1860027627187924E-2</v>
      </c>
      <c r="AD248" s="33"/>
      <c r="AE248" s="33">
        <f t="shared" si="217"/>
        <v>1054.18410041841</v>
      </c>
      <c r="AF248" s="50"/>
      <c r="AG248" s="33">
        <f t="shared" si="218"/>
        <v>7585</v>
      </c>
      <c r="AH248" s="33">
        <f t="shared" si="219"/>
        <v>1144777306.060914</v>
      </c>
      <c r="AI248" s="213">
        <f t="shared" si="220"/>
        <v>0.1502881407340006</v>
      </c>
      <c r="AJ248" s="50"/>
      <c r="AK248" s="10"/>
      <c r="AL248" s="23">
        <f t="shared" si="221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22"/>
        <v>9.0702900661700451E-3</v>
      </c>
      <c r="AS248" s="25"/>
      <c r="AT248" s="25"/>
      <c r="AU248" s="24"/>
      <c r="AV248" s="298">
        <f t="shared" si="223"/>
        <v>0.58904909357020196</v>
      </c>
      <c r="AW248" s="298"/>
      <c r="AX248" s="24">
        <f t="shared" si="224"/>
        <v>28406.468619246862</v>
      </c>
      <c r="AY248" s="308"/>
      <c r="AZ248" s="10"/>
      <c r="BA248" s="65">
        <f t="shared" si="225"/>
        <v>1687033</v>
      </c>
      <c r="BB248" s="66"/>
      <c r="BC248" s="66">
        <v>165141738</v>
      </c>
      <c r="BD248" s="66"/>
      <c r="BE248" s="66">
        <f t="shared" si="226"/>
        <v>183527</v>
      </c>
      <c r="BF248" s="66"/>
      <c r="BG248" s="144">
        <f t="shared" si="227"/>
        <v>0.10878684649322212</v>
      </c>
      <c r="BH248" s="66"/>
      <c r="BI248" s="170"/>
      <c r="BJ248" s="66"/>
      <c r="BK248" s="66">
        <f t="shared" si="228"/>
        <v>10121786</v>
      </c>
      <c r="BL248" s="66"/>
      <c r="BM248" s="144">
        <f t="shared" si="229"/>
        <v>9.6468350546039999E-2</v>
      </c>
      <c r="BN248" s="65">
        <f t="shared" si="230"/>
        <v>690969.61506276147</v>
      </c>
      <c r="BO248" s="66"/>
      <c r="BP248" s="66">
        <f t="shared" si="231"/>
        <v>10618625</v>
      </c>
      <c r="BQ248" s="66"/>
      <c r="BR248" s="435">
        <f t="shared" si="232"/>
        <v>6.4300068102710661E-2</v>
      </c>
      <c r="BS248" s="66"/>
      <c r="BT248" s="75"/>
      <c r="BU248" s="170"/>
      <c r="BV248" s="1"/>
      <c r="BW248" s="61">
        <f t="shared" si="189"/>
        <v>239</v>
      </c>
    </row>
    <row r="249" spans="2:75" x14ac:dyDescent="0.3">
      <c r="B249" s="158">
        <f t="shared" si="163"/>
        <v>44149</v>
      </c>
      <c r="C249" s="61"/>
      <c r="D249" s="17">
        <v>157253</v>
      </c>
      <c r="E249" s="16"/>
      <c r="F249" s="16"/>
      <c r="G249" s="16"/>
      <c r="H249" s="16">
        <f t="shared" si="212"/>
        <v>11682856</v>
      </c>
      <c r="I249" s="16"/>
      <c r="J249" s="436">
        <f t="shared" si="213"/>
        <v>1.3643798072864387E-2</v>
      </c>
      <c r="K249" s="16"/>
      <c r="L249" s="16"/>
      <c r="M249" s="16"/>
      <c r="N249" s="16">
        <f t="shared" si="233"/>
        <v>1009295</v>
      </c>
      <c r="O249" s="16">
        <f t="shared" si="214"/>
        <v>48678.566666666666</v>
      </c>
      <c r="P249" s="41"/>
      <c r="Q249" s="17">
        <f t="shared" si="234"/>
        <v>1009295</v>
      </c>
      <c r="R249" s="16"/>
      <c r="S249" s="60">
        <f t="shared" si="235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5"/>
        <v>253210</v>
      </c>
      <c r="AB249" s="33"/>
      <c r="AC249" s="46">
        <f t="shared" si="216"/>
        <v>2.167363870615199E-2</v>
      </c>
      <c r="AD249" s="33"/>
      <c r="AE249" s="33">
        <f t="shared" si="217"/>
        <v>1055.0416666666667</v>
      </c>
      <c r="AF249" s="50"/>
      <c r="AG249" s="33">
        <f t="shared" si="218"/>
        <v>7814</v>
      </c>
      <c r="AH249" s="33">
        <f t="shared" si="219"/>
        <v>1144711177.060914</v>
      </c>
      <c r="AI249" s="213">
        <f t="shared" si="220"/>
        <v>0.1643570257785725</v>
      </c>
      <c r="AJ249" s="50"/>
      <c r="AK249" s="10"/>
      <c r="AL249" s="23">
        <f t="shared" si="221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22"/>
        <v>1.5007042122823696E-2</v>
      </c>
      <c r="AS249" s="25"/>
      <c r="AT249" s="25"/>
      <c r="AU249" s="24"/>
      <c r="AV249" s="298">
        <f t="shared" si="223"/>
        <v>0.58984130250342892</v>
      </c>
      <c r="AW249" s="298"/>
      <c r="AX249" s="24">
        <f t="shared" si="224"/>
        <v>28712.629166666666</v>
      </c>
      <c r="AY249" s="308"/>
      <c r="AZ249" s="10"/>
      <c r="BA249" s="65">
        <f t="shared" si="225"/>
        <v>1609746</v>
      </c>
      <c r="BB249" s="66"/>
      <c r="BC249" s="66">
        <v>166751484</v>
      </c>
      <c r="BD249" s="66"/>
      <c r="BE249" s="66">
        <f t="shared" si="226"/>
        <v>157253</v>
      </c>
      <c r="BF249" s="66"/>
      <c r="BG249" s="144">
        <f t="shared" si="227"/>
        <v>9.7688082467668816E-2</v>
      </c>
      <c r="BH249" s="66"/>
      <c r="BI249" s="170"/>
      <c r="BJ249" s="66"/>
      <c r="BK249" s="66">
        <f t="shared" si="228"/>
        <v>10196558</v>
      </c>
      <c r="BL249" s="66"/>
      <c r="BM249" s="144">
        <f t="shared" si="229"/>
        <v>9.8983892407614418E-2</v>
      </c>
      <c r="BN249" s="65">
        <f t="shared" si="230"/>
        <v>694797.85</v>
      </c>
      <c r="BO249" s="66"/>
      <c r="BP249" s="66">
        <f t="shared" si="231"/>
        <v>10775878</v>
      </c>
      <c r="BQ249" s="66"/>
      <c r="BR249" s="435">
        <f t="shared" si="232"/>
        <v>6.46223814116101E-2</v>
      </c>
      <c r="BS249" s="66"/>
      <c r="BT249" s="75"/>
      <c r="BU249" s="170"/>
      <c r="BV249" s="1"/>
      <c r="BW249" s="61">
        <f t="shared" si="189"/>
        <v>240</v>
      </c>
    </row>
    <row r="250" spans="2:75" x14ac:dyDescent="0.3">
      <c r="B250" s="347">
        <f t="shared" si="163"/>
        <v>44150</v>
      </c>
      <c r="C250" s="61"/>
      <c r="D250" s="17">
        <v>138249</v>
      </c>
      <c r="E250" s="16"/>
      <c r="F250" s="16"/>
      <c r="G250" s="16"/>
      <c r="H250" s="16">
        <f t="shared" si="212"/>
        <v>11821105</v>
      </c>
      <c r="I250" s="16"/>
      <c r="J250" s="436">
        <f t="shared" si="213"/>
        <v>1.1833493453997892E-2</v>
      </c>
      <c r="K250" s="16"/>
      <c r="L250" s="16"/>
      <c r="M250" s="16"/>
      <c r="N250" s="16">
        <f t="shared" si="233"/>
        <v>1044818</v>
      </c>
      <c r="O250" s="16">
        <f t="shared" si="214"/>
        <v>49050.228215767638</v>
      </c>
      <c r="P250" s="41"/>
      <c r="Q250" s="17">
        <f t="shared" si="234"/>
        <v>1044818</v>
      </c>
      <c r="R250" s="16"/>
      <c r="S250" s="60">
        <f t="shared" si="235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5"/>
        <v>253789</v>
      </c>
      <c r="AB250" s="33"/>
      <c r="AC250" s="46">
        <f t="shared" si="216"/>
        <v>2.1469143536073827E-2</v>
      </c>
      <c r="AD250" s="33"/>
      <c r="AE250" s="33">
        <f t="shared" si="217"/>
        <v>1053.0663900414938</v>
      </c>
      <c r="AF250" s="50"/>
      <c r="AG250" s="33">
        <f t="shared" si="218"/>
        <v>7881</v>
      </c>
      <c r="AH250" s="33">
        <f t="shared" si="219"/>
        <v>1144639490.060914</v>
      </c>
      <c r="AI250" s="213">
        <f t="shared" si="220"/>
        <v>0.15489449003517</v>
      </c>
      <c r="AJ250" s="50"/>
      <c r="AK250" s="348"/>
      <c r="AL250" s="23">
        <f t="shared" si="221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22"/>
        <v>6.4720358970958049E-3</v>
      </c>
      <c r="AS250" s="25"/>
      <c r="AT250" s="25"/>
      <c r="AU250" s="24"/>
      <c r="AV250" s="298">
        <f t="shared" si="223"/>
        <v>0.58671587808415537</v>
      </c>
      <c r="AW250" s="298"/>
      <c r="AX250" s="24">
        <f t="shared" si="224"/>
        <v>28778.547717842324</v>
      </c>
      <c r="AY250" s="308"/>
      <c r="AZ250" s="10"/>
      <c r="BA250" s="65">
        <f t="shared" si="225"/>
        <v>1404360</v>
      </c>
      <c r="BB250" s="66"/>
      <c r="BC250" s="66">
        <v>168155844</v>
      </c>
      <c r="BD250" s="66"/>
      <c r="BE250" s="66">
        <f t="shared" si="226"/>
        <v>138249</v>
      </c>
      <c r="BF250" s="66"/>
      <c r="BG250" s="144">
        <f t="shared" si="227"/>
        <v>9.8442706998205592E-2</v>
      </c>
      <c r="BH250" s="66"/>
      <c r="BI250" s="170"/>
      <c r="BJ250" s="66"/>
      <c r="BK250" s="66">
        <f t="shared" si="228"/>
        <v>10552987</v>
      </c>
      <c r="BL250" s="66"/>
      <c r="BM250" s="144">
        <f t="shared" si="229"/>
        <v>9.9006849908940472E-2</v>
      </c>
      <c r="BN250" s="65">
        <f t="shared" si="230"/>
        <v>697742.09128630708</v>
      </c>
      <c r="BO250" s="66"/>
      <c r="BP250" s="66">
        <f t="shared" si="231"/>
        <v>10914127</v>
      </c>
      <c r="BQ250" s="66"/>
      <c r="BR250" s="435">
        <f t="shared" si="232"/>
        <v>6.4904833161790076E-2</v>
      </c>
      <c r="BS250" s="66"/>
      <c r="BT250" s="75"/>
      <c r="BU250" s="170"/>
      <c r="BV250" s="1"/>
      <c r="BW250" s="61">
        <f t="shared" si="189"/>
        <v>241</v>
      </c>
    </row>
    <row r="251" spans="2:75" x14ac:dyDescent="0.3">
      <c r="B251" s="158">
        <f t="shared" si="163"/>
        <v>44151</v>
      </c>
      <c r="C251" s="61"/>
      <c r="D251" s="17">
        <v>162149</v>
      </c>
      <c r="E251" s="16"/>
      <c r="F251" s="16"/>
      <c r="G251" s="16"/>
      <c r="H251" s="16">
        <f t="shared" si="212"/>
        <v>11983254</v>
      </c>
      <c r="I251" s="16"/>
      <c r="J251" s="436">
        <f t="shared" si="213"/>
        <v>1.371690717576741E-2</v>
      </c>
      <c r="K251" s="16"/>
      <c r="L251" s="16"/>
      <c r="M251" s="16"/>
      <c r="N251" s="16">
        <f t="shared" si="233"/>
        <v>1081278</v>
      </c>
      <c r="O251" s="16">
        <f t="shared" si="214"/>
        <v>49517.578512396693</v>
      </c>
      <c r="P251" s="41"/>
      <c r="Q251" s="17">
        <f t="shared" si="234"/>
        <v>1081278</v>
      </c>
      <c r="R251" s="16"/>
      <c r="S251" s="60">
        <f t="shared" si="235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5"/>
        <v>254528</v>
      </c>
      <c r="AB251" s="33"/>
      <c r="AC251" s="46">
        <f t="shared" si="216"/>
        <v>2.1240307515804972E-2</v>
      </c>
      <c r="AD251" s="33"/>
      <c r="AE251" s="33">
        <f t="shared" si="217"/>
        <v>1051.7685950413222</v>
      </c>
      <c r="AF251" s="50"/>
      <c r="AG251" s="33">
        <f t="shared" si="218"/>
        <v>7979</v>
      </c>
      <c r="AH251" s="33">
        <f t="shared" si="219"/>
        <v>1144585258.060914</v>
      </c>
      <c r="AI251" s="213">
        <f t="shared" si="220"/>
        <v>0.14921503672763936</v>
      </c>
      <c r="AJ251" s="50"/>
      <c r="AK251" s="10"/>
      <c r="AL251" s="23">
        <f t="shared" si="221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22"/>
        <v>1.2064369062363477E-2</v>
      </c>
      <c r="AS251" s="25"/>
      <c r="AT251" s="25"/>
      <c r="AU251" s="24"/>
      <c r="AV251" s="298">
        <f t="shared" si="223"/>
        <v>0.58575942728077035</v>
      </c>
      <c r="AW251" s="298"/>
      <c r="AX251" s="24">
        <f t="shared" si="224"/>
        <v>29005.388429752067</v>
      </c>
      <c r="AY251" s="308"/>
      <c r="AZ251" s="10"/>
      <c r="BA251" s="65">
        <f t="shared" si="225"/>
        <v>1980160</v>
      </c>
      <c r="BB251" s="66"/>
      <c r="BC251" s="66">
        <v>170136004</v>
      </c>
      <c r="BD251" s="66"/>
      <c r="BE251" s="66">
        <f t="shared" si="226"/>
        <v>162149</v>
      </c>
      <c r="BF251" s="66"/>
      <c r="BG251" s="144">
        <f t="shared" si="227"/>
        <v>8.1886817226890757E-2</v>
      </c>
      <c r="BH251" s="66"/>
      <c r="BI251" s="170"/>
      <c r="BJ251" s="66"/>
      <c r="BK251" s="66">
        <f t="shared" si="228"/>
        <v>10851891</v>
      </c>
      <c r="BL251" s="66"/>
      <c r="BM251" s="144">
        <f t="shared" si="229"/>
        <v>9.9639592767748961E-2</v>
      </c>
      <c r="BN251" s="65">
        <f t="shared" si="230"/>
        <v>703041.33884297521</v>
      </c>
      <c r="BO251" s="66"/>
      <c r="BP251" s="66">
        <f t="shared" si="231"/>
        <v>11076276</v>
      </c>
      <c r="BQ251" s="66"/>
      <c r="BR251" s="435">
        <f t="shared" si="232"/>
        <v>6.5102481189107983E-2</v>
      </c>
      <c r="BS251" s="66"/>
      <c r="BT251" s="75"/>
      <c r="BU251" s="170"/>
      <c r="BV251" s="1"/>
      <c r="BW251" s="61">
        <f t="shared" si="189"/>
        <v>242</v>
      </c>
    </row>
    <row r="252" spans="2:75" x14ac:dyDescent="0.3">
      <c r="B252" s="158">
        <f t="shared" si="163"/>
        <v>44152</v>
      </c>
      <c r="C252" s="61"/>
      <c r="D252" s="17">
        <v>157261</v>
      </c>
      <c r="E252" s="16"/>
      <c r="F252" s="16"/>
      <c r="G252" s="16"/>
      <c r="H252" s="16">
        <f t="shared" si="212"/>
        <v>12140515</v>
      </c>
      <c r="I252" s="16"/>
      <c r="J252" s="436">
        <f t="shared" si="213"/>
        <v>1.3123397033894132E-2</v>
      </c>
      <c r="K252" s="16"/>
      <c r="L252" s="16"/>
      <c r="M252" s="16"/>
      <c r="N252" s="16">
        <f t="shared" si="233"/>
        <v>1102886</v>
      </c>
      <c r="O252" s="16">
        <f t="shared" si="214"/>
        <v>49960.9670781893</v>
      </c>
      <c r="P252" s="41"/>
      <c r="Q252" s="17">
        <f t="shared" si="234"/>
        <v>1102886</v>
      </c>
      <c r="R252" s="16"/>
      <c r="S252" s="60">
        <f t="shared" si="235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5"/>
        <v>256143</v>
      </c>
      <c r="AB252" s="33"/>
      <c r="AC252" s="46">
        <f t="shared" si="216"/>
        <v>2.1098198882007889E-2</v>
      </c>
      <c r="AD252" s="33"/>
      <c r="AE252" s="33">
        <f t="shared" si="217"/>
        <v>1054.0864197530864</v>
      </c>
      <c r="AF252" s="50"/>
      <c r="AG252" s="33">
        <f t="shared" si="218"/>
        <v>8248</v>
      </c>
      <c r="AH252" s="33">
        <f t="shared" si="219"/>
        <v>1144540317.060914</v>
      </c>
      <c r="AI252" s="213">
        <f t="shared" si="220"/>
        <v>0.16136299633905943</v>
      </c>
      <c r="AJ252" s="50"/>
      <c r="AK252" s="10"/>
      <c r="AL252" s="23">
        <f t="shared" si="221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22"/>
        <v>9.7576625830709147E-3</v>
      </c>
      <c r="AS252" s="25"/>
      <c r="AT252" s="25"/>
      <c r="AU252" s="24"/>
      <c r="AV252" s="298">
        <f t="shared" si="223"/>
        <v>0.58381345437158139</v>
      </c>
      <c r="AW252" s="298"/>
      <c r="AX252" s="24">
        <f t="shared" si="224"/>
        <v>29167.88477366255</v>
      </c>
      <c r="AY252" s="308"/>
      <c r="AZ252" s="10"/>
      <c r="BA252" s="65">
        <f t="shared" si="225"/>
        <v>1555687</v>
      </c>
      <c r="BB252" s="66"/>
      <c r="BC252" s="66">
        <v>171691691</v>
      </c>
      <c r="BD252" s="66"/>
      <c r="BE252" s="66">
        <f t="shared" si="226"/>
        <v>157261</v>
      </c>
      <c r="BF252" s="66"/>
      <c r="BG252" s="144">
        <f t="shared" si="227"/>
        <v>0.10108781522247084</v>
      </c>
      <c r="BH252" s="66"/>
      <c r="BI252" s="170"/>
      <c r="BJ252" s="66"/>
      <c r="BK252" s="66">
        <f t="shared" si="228"/>
        <v>11096112</v>
      </c>
      <c r="BL252" s="66"/>
      <c r="BM252" s="144">
        <f t="shared" si="229"/>
        <v>9.9393913832160313E-2</v>
      </c>
      <c r="BN252" s="65">
        <f t="shared" si="230"/>
        <v>706550.16872427985</v>
      </c>
      <c r="BO252" s="66"/>
      <c r="BP252" s="66">
        <f t="shared" si="231"/>
        <v>11233537</v>
      </c>
      <c r="BQ252" s="66"/>
      <c r="BR252" s="435">
        <f t="shared" si="232"/>
        <v>6.5428541908880145E-2</v>
      </c>
      <c r="BS252" s="66"/>
      <c r="BT252" s="75"/>
      <c r="BU252" s="170"/>
      <c r="BV252" s="1"/>
      <c r="BW252" s="61">
        <f t="shared" si="189"/>
        <v>243</v>
      </c>
    </row>
    <row r="253" spans="2:75" x14ac:dyDescent="0.3">
      <c r="B253" s="158">
        <f t="shared" si="163"/>
        <v>44153</v>
      </c>
      <c r="C253" s="61"/>
      <c r="D253" s="17">
        <v>173768</v>
      </c>
      <c r="E253" s="16"/>
      <c r="F253" s="16"/>
      <c r="G253" s="16"/>
      <c r="H253" s="16">
        <f t="shared" si="212"/>
        <v>12314283</v>
      </c>
      <c r="I253" s="16"/>
      <c r="J253" s="436">
        <f t="shared" si="213"/>
        <v>1.4313066620320473E-2</v>
      </c>
      <c r="K253" s="16"/>
      <c r="L253" s="16"/>
      <c r="M253" s="16"/>
      <c r="N253" s="16">
        <f t="shared" si="233"/>
        <v>1133748</v>
      </c>
      <c r="O253" s="16">
        <f t="shared" si="214"/>
        <v>50468.37295081967</v>
      </c>
      <c r="P253" s="41"/>
      <c r="Q253" s="17">
        <f t="shared" si="234"/>
        <v>1133748</v>
      </c>
      <c r="R253" s="16"/>
      <c r="S253" s="60">
        <f t="shared" si="235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5"/>
        <v>258107</v>
      </c>
      <c r="AB253" s="33"/>
      <c r="AC253" s="46">
        <f t="shared" si="216"/>
        <v>2.0959969817162721E-2</v>
      </c>
      <c r="AD253" s="33"/>
      <c r="AE253" s="33">
        <f t="shared" si="217"/>
        <v>1057.8155737704917</v>
      </c>
      <c r="AF253" s="50"/>
      <c r="AG253" s="33">
        <f t="shared" si="218"/>
        <v>8742</v>
      </c>
      <c r="AH253" s="33">
        <f t="shared" si="219"/>
        <v>1144482990.060914</v>
      </c>
      <c r="AI253" s="213">
        <f t="shared" si="220"/>
        <v>0.185999185999186</v>
      </c>
      <c r="AJ253" s="50"/>
      <c r="AK253" s="10"/>
      <c r="AL253" s="23">
        <f t="shared" si="221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22"/>
        <v>1.583002671070104E-2</v>
      </c>
      <c r="AS253" s="25"/>
      <c r="AT253" s="25"/>
      <c r="AU253" s="24"/>
      <c r="AV253" s="298">
        <f t="shared" si="223"/>
        <v>0.58468657899124132</v>
      </c>
      <c r="AW253" s="298"/>
      <c r="AX253" s="24">
        <f t="shared" si="224"/>
        <v>29508.180327868853</v>
      </c>
      <c r="AY253" s="308"/>
      <c r="AZ253" s="10"/>
      <c r="BA253" s="65">
        <f t="shared" si="225"/>
        <v>1544138</v>
      </c>
      <c r="BB253" s="66"/>
      <c r="BC253" s="66">
        <v>173235829</v>
      </c>
      <c r="BD253" s="66"/>
      <c r="BE253" s="66">
        <f t="shared" si="226"/>
        <v>173768</v>
      </c>
      <c r="BF253" s="66"/>
      <c r="BG253" s="144">
        <f t="shared" si="227"/>
        <v>0.11253398336159073</v>
      </c>
      <c r="BH253" s="66"/>
      <c r="BI253" s="170"/>
      <c r="BJ253" s="66"/>
      <c r="BK253" s="66">
        <f t="shared" si="228"/>
        <v>11318262</v>
      </c>
      <c r="BL253" s="66"/>
      <c r="BM253" s="144">
        <f t="shared" si="229"/>
        <v>0.10016979638746655</v>
      </c>
      <c r="BN253" s="65">
        <f t="shared" si="230"/>
        <v>709982.90573770495</v>
      </c>
      <c r="BO253" s="66"/>
      <c r="BP253" s="66">
        <f t="shared" si="231"/>
        <v>11407305</v>
      </c>
      <c r="BQ253" s="66"/>
      <c r="BR253" s="435">
        <f t="shared" si="232"/>
        <v>6.5848416380424393E-2</v>
      </c>
      <c r="BS253" s="66"/>
      <c r="BT253" s="75"/>
      <c r="BU253" s="170"/>
      <c r="BV253" s="1"/>
      <c r="BW253" s="61">
        <f t="shared" si="189"/>
        <v>244</v>
      </c>
    </row>
    <row r="254" spans="2:75" x14ac:dyDescent="0.3">
      <c r="B254" s="158">
        <f t="shared" si="163"/>
        <v>44154</v>
      </c>
      <c r="C254" s="61"/>
      <c r="D254" s="17">
        <v>192186</v>
      </c>
      <c r="E254" s="16"/>
      <c r="F254" s="16"/>
      <c r="G254" s="16"/>
      <c r="H254" s="16">
        <f t="shared" si="212"/>
        <v>12506469</v>
      </c>
      <c r="I254" s="16"/>
      <c r="J254" s="436">
        <f t="shared" si="213"/>
        <v>1.5606755180143253E-2</v>
      </c>
      <c r="K254" s="16"/>
      <c r="L254" s="16"/>
      <c r="M254" s="16"/>
      <c r="N254" s="16">
        <f t="shared" si="233"/>
        <v>1164393</v>
      </c>
      <c r="O254" s="16">
        <f t="shared" si="214"/>
        <v>51046.812244897956</v>
      </c>
      <c r="P254" s="41"/>
      <c r="Q254" s="17">
        <f t="shared" si="234"/>
        <v>1164393</v>
      </c>
      <c r="R254" s="16"/>
      <c r="S254" s="60">
        <f t="shared" si="235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5"/>
        <v>260172</v>
      </c>
      <c r="AB254" s="33"/>
      <c r="AC254" s="46">
        <f t="shared" si="216"/>
        <v>2.0802994034527251E-2</v>
      </c>
      <c r="AD254" s="33"/>
      <c r="AE254" s="33">
        <f t="shared" si="217"/>
        <v>1061.926530612245</v>
      </c>
      <c r="AF254" s="50"/>
      <c r="AG254" s="33">
        <f t="shared" si="218"/>
        <v>9617</v>
      </c>
      <c r="AH254" s="33">
        <f t="shared" si="219"/>
        <v>1144420918.060914</v>
      </c>
      <c r="AI254" s="213">
        <f t="shared" si="220"/>
        <v>0.29365079365079366</v>
      </c>
      <c r="AJ254" s="50"/>
      <c r="AK254" s="10"/>
      <c r="AL254" s="23">
        <f t="shared" si="221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22"/>
        <v>6.0405589114216176E-3</v>
      </c>
      <c r="AS254" s="25"/>
      <c r="AT254" s="25"/>
      <c r="AU254" s="24"/>
      <c r="AV254" s="298">
        <f t="shared" si="223"/>
        <v>0.57917930312704569</v>
      </c>
      <c r="AW254" s="298"/>
      <c r="AX254" s="24">
        <f t="shared" si="224"/>
        <v>29565.257142857143</v>
      </c>
      <c r="AY254" s="308"/>
      <c r="AZ254" s="10"/>
      <c r="BA254" s="65">
        <f t="shared" si="225"/>
        <v>1748416</v>
      </c>
      <c r="BB254" s="66"/>
      <c r="BC254" s="66">
        <v>174984245</v>
      </c>
      <c r="BD254" s="66"/>
      <c r="BE254" s="66">
        <f t="shared" si="226"/>
        <v>192186</v>
      </c>
      <c r="BF254" s="66"/>
      <c r="BG254" s="144">
        <f t="shared" si="227"/>
        <v>0.10992006479007284</v>
      </c>
      <c r="BH254" s="66"/>
      <c r="BI254" s="170"/>
      <c r="BJ254" s="66"/>
      <c r="BK254" s="66">
        <f t="shared" si="228"/>
        <v>11529540</v>
      </c>
      <c r="BL254" s="66"/>
      <c r="BM254" s="144">
        <f t="shared" si="229"/>
        <v>0.10099214712815949</v>
      </c>
      <c r="BN254" s="65">
        <f t="shared" si="230"/>
        <v>714221.40816326533</v>
      </c>
      <c r="BO254" s="66"/>
      <c r="BP254" s="66">
        <f t="shared" si="231"/>
        <v>11599491</v>
      </c>
      <c r="BQ254" s="66"/>
      <c r="BR254" s="435">
        <f t="shared" si="232"/>
        <v>6.6288773597874481E-2</v>
      </c>
      <c r="BS254" s="66"/>
      <c r="BT254" s="75"/>
      <c r="BU254" s="170"/>
      <c r="BV254" s="1"/>
      <c r="BW254" s="61">
        <f t="shared" si="189"/>
        <v>245</v>
      </c>
    </row>
    <row r="255" spans="2:75" x14ac:dyDescent="0.3">
      <c r="B255" s="158">
        <f t="shared" si="163"/>
        <v>44155</v>
      </c>
      <c r="C255" s="61"/>
      <c r="D255" s="17">
        <v>204179</v>
      </c>
      <c r="E255" s="16"/>
      <c r="F255" s="16"/>
      <c r="G255" s="16"/>
      <c r="H255" s="16">
        <f t="shared" si="212"/>
        <v>12710648</v>
      </c>
      <c r="I255" s="16"/>
      <c r="J255" s="436">
        <f t="shared" si="213"/>
        <v>1.6325871035221852E-2</v>
      </c>
      <c r="K255" s="16"/>
      <c r="L255" s="16"/>
      <c r="M255" s="16"/>
      <c r="N255" s="16">
        <f t="shared" si="233"/>
        <v>1185045</v>
      </c>
      <c r="O255" s="16">
        <f t="shared" si="214"/>
        <v>51669.300813008129</v>
      </c>
      <c r="P255" s="41"/>
      <c r="Q255" s="17">
        <f t="shared" si="234"/>
        <v>1185045</v>
      </c>
      <c r="R255" s="16"/>
      <c r="S255" s="60">
        <f t="shared" si="235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5"/>
        <v>262170</v>
      </c>
      <c r="AB255" s="33"/>
      <c r="AC255" s="46">
        <f t="shared" si="216"/>
        <v>2.0626013717003257E-2</v>
      </c>
      <c r="AD255" s="33"/>
      <c r="AE255" s="33">
        <f t="shared" si="217"/>
        <v>1065.7317073170732</v>
      </c>
      <c r="AF255" s="50"/>
      <c r="AG255" s="33">
        <f t="shared" si="218"/>
        <v>10220</v>
      </c>
      <c r="AH255" s="33">
        <f t="shared" si="219"/>
        <v>1144357255.060914</v>
      </c>
      <c r="AI255" s="213">
        <f t="shared" si="220"/>
        <v>0.34739617666446937</v>
      </c>
      <c r="AJ255" s="50"/>
      <c r="AK255" s="10"/>
      <c r="AL255" s="23">
        <f t="shared" si="221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22"/>
        <v>1.0156985143069196E-2</v>
      </c>
      <c r="AS255" s="25"/>
      <c r="AT255" s="25"/>
      <c r="AU255" s="24"/>
      <c r="AV255" s="298">
        <f t="shared" si="223"/>
        <v>0.57566380565333886</v>
      </c>
      <c r="AW255" s="298"/>
      <c r="AX255" s="24">
        <f t="shared" si="224"/>
        <v>29744.146341463416</v>
      </c>
      <c r="AY255" s="308"/>
      <c r="AZ255" s="10"/>
      <c r="BA255" s="65">
        <f t="shared" si="225"/>
        <v>2172596</v>
      </c>
      <c r="BB255" s="66"/>
      <c r="BC255" s="66">
        <v>177156841</v>
      </c>
      <c r="BD255" s="66"/>
      <c r="BE255" s="66">
        <f t="shared" si="226"/>
        <v>204179</v>
      </c>
      <c r="BF255" s="66"/>
      <c r="BG255" s="144">
        <f t="shared" si="227"/>
        <v>9.3979276404817097E-2</v>
      </c>
      <c r="BH255" s="66"/>
      <c r="BI255" s="170"/>
      <c r="BJ255" s="66"/>
      <c r="BK255" s="66">
        <f t="shared" si="228"/>
        <v>12015103</v>
      </c>
      <c r="BL255" s="66"/>
      <c r="BM255" s="144">
        <f t="shared" si="229"/>
        <v>9.8629616408615062E-2</v>
      </c>
      <c r="BN255" s="65">
        <f t="shared" si="230"/>
        <v>720149.7601626016</v>
      </c>
      <c r="BO255" s="66"/>
      <c r="BP255" s="66">
        <f t="shared" si="231"/>
        <v>11803670</v>
      </c>
      <c r="BQ255" s="66"/>
      <c r="BR255" s="435">
        <f t="shared" si="232"/>
        <v>6.6628361249679316E-2</v>
      </c>
      <c r="BS255" s="66"/>
      <c r="BT255" s="75"/>
      <c r="BU255" s="170"/>
      <c r="BV255" s="1"/>
      <c r="BW255" s="61">
        <f t="shared" si="189"/>
        <v>246</v>
      </c>
    </row>
    <row r="256" spans="2:75" x14ac:dyDescent="0.3">
      <c r="B256" s="158">
        <f t="shared" si="163"/>
        <v>44156</v>
      </c>
      <c r="C256" s="61"/>
      <c r="D256" s="17">
        <v>172839</v>
      </c>
      <c r="E256" s="16"/>
      <c r="F256" s="16"/>
      <c r="G256" s="16"/>
      <c r="H256" s="16">
        <f t="shared" si="212"/>
        <v>12883487</v>
      </c>
      <c r="I256" s="16"/>
      <c r="J256" s="436">
        <f t="shared" si="213"/>
        <v>1.3597969198737941E-2</v>
      </c>
      <c r="K256" s="16"/>
      <c r="L256" s="16"/>
      <c r="M256" s="16"/>
      <c r="N256" s="16">
        <f t="shared" si="233"/>
        <v>1200631</v>
      </c>
      <c r="O256" s="16">
        <f t="shared" si="214"/>
        <v>52159.866396761136</v>
      </c>
      <c r="P256" s="41"/>
      <c r="Q256" s="17">
        <f t="shared" si="234"/>
        <v>1200631</v>
      </c>
      <c r="R256" s="16"/>
      <c r="S256" s="60">
        <f t="shared" si="235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5"/>
        <v>263630</v>
      </c>
      <c r="AB256" s="33"/>
      <c r="AC256" s="46">
        <f t="shared" si="216"/>
        <v>2.0462627858436153E-2</v>
      </c>
      <c r="AD256" s="33"/>
      <c r="AE256" s="33">
        <f t="shared" si="217"/>
        <v>1067.3279352226721</v>
      </c>
      <c r="AF256" s="50"/>
      <c r="AG256" s="33">
        <f t="shared" si="218"/>
        <v>10420</v>
      </c>
      <c r="AH256" s="33">
        <f t="shared" si="219"/>
        <v>1144282954.060914</v>
      </c>
      <c r="AI256" s="213">
        <f t="shared" si="220"/>
        <v>0.33350396723829023</v>
      </c>
      <c r="AJ256" s="50"/>
      <c r="AK256" s="10"/>
      <c r="AL256" s="23">
        <f t="shared" si="221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22"/>
        <v>1.1860911349640429E-2</v>
      </c>
      <c r="AS256" s="25"/>
      <c r="AT256" s="25"/>
      <c r="AU256" s="24"/>
      <c r="AV256" s="298">
        <f t="shared" si="223"/>
        <v>0.57467725934756642</v>
      </c>
      <c r="AW256" s="298"/>
      <c r="AX256" s="24">
        <f t="shared" si="224"/>
        <v>29975.08906882591</v>
      </c>
      <c r="AY256" s="308"/>
      <c r="AZ256" s="10"/>
      <c r="BA256" s="65">
        <f t="shared" si="225"/>
        <v>1882866</v>
      </c>
      <c r="BB256" s="66"/>
      <c r="BC256" s="66">
        <v>179039707</v>
      </c>
      <c r="BD256" s="66"/>
      <c r="BE256" s="66">
        <f t="shared" si="226"/>
        <v>172839</v>
      </c>
      <c r="BF256" s="66"/>
      <c r="BG256" s="144">
        <f t="shared" si="227"/>
        <v>9.1795698684877206E-2</v>
      </c>
      <c r="BH256" s="66"/>
      <c r="BI256" s="170"/>
      <c r="BJ256" s="66"/>
      <c r="BK256" s="66">
        <f t="shared" si="228"/>
        <v>12288223</v>
      </c>
      <c r="BL256" s="66"/>
      <c r="BM256" s="144">
        <f t="shared" si="229"/>
        <v>9.7705827766960282E-2</v>
      </c>
      <c r="BN256" s="65">
        <f t="shared" si="230"/>
        <v>724857.11336032394</v>
      </c>
      <c r="BO256" s="66"/>
      <c r="BP256" s="66">
        <f t="shared" si="231"/>
        <v>11976509</v>
      </c>
      <c r="BQ256" s="66"/>
      <c r="BR256" s="435">
        <f t="shared" si="232"/>
        <v>6.689303283991635E-2</v>
      </c>
      <c r="BS256" s="66"/>
      <c r="BT256" s="75"/>
      <c r="BU256" s="170"/>
      <c r="BV256" s="1"/>
      <c r="BW256" s="61">
        <f t="shared" si="189"/>
        <v>247</v>
      </c>
    </row>
    <row r="257" spans="2:75" x14ac:dyDescent="0.3">
      <c r="B257" s="347">
        <f t="shared" si="163"/>
        <v>44157</v>
      </c>
      <c r="C257" s="61"/>
      <c r="D257" s="17">
        <v>136627</v>
      </c>
      <c r="E257" s="16"/>
      <c r="F257" s="16"/>
      <c r="G257" s="16"/>
      <c r="H257" s="16">
        <f t="shared" si="212"/>
        <v>13020114</v>
      </c>
      <c r="I257" s="16"/>
      <c r="J257" s="436">
        <f t="shared" si="213"/>
        <v>1.0604815295734765E-2</v>
      </c>
      <c r="K257" s="16"/>
      <c r="L257" s="16"/>
      <c r="M257" s="16"/>
      <c r="N257" s="16">
        <f t="shared" si="233"/>
        <v>1199009</v>
      </c>
      <c r="O257" s="16">
        <f t="shared" si="214"/>
        <v>52500.459677419356</v>
      </c>
      <c r="P257" s="41"/>
      <c r="Q257" s="17">
        <f t="shared" si="234"/>
        <v>1199009</v>
      </c>
      <c r="R257" s="16"/>
      <c r="S257" s="60">
        <f t="shared" si="235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5"/>
        <v>264496</v>
      </c>
      <c r="AB257" s="33"/>
      <c r="AC257" s="46">
        <f t="shared" si="216"/>
        <v>2.0314415065797425E-2</v>
      </c>
      <c r="AD257" s="33"/>
      <c r="AE257" s="33">
        <f t="shared" si="217"/>
        <v>1066.516129032258</v>
      </c>
      <c r="AF257" s="50"/>
      <c r="AG257" s="33">
        <f t="shared" si="218"/>
        <v>10707</v>
      </c>
      <c r="AH257" s="33">
        <f t="shared" si="219"/>
        <v>1144201540.060914</v>
      </c>
      <c r="AI257" s="213">
        <f t="shared" si="220"/>
        <v>0.35858393604872479</v>
      </c>
      <c r="AJ257" s="50"/>
      <c r="AK257" s="10"/>
      <c r="AL257" s="23">
        <f t="shared" si="221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22"/>
        <v>6.5767161314921824E-3</v>
      </c>
      <c r="AS257" s="25"/>
      <c r="AT257" s="25"/>
      <c r="AU257" s="24"/>
      <c r="AV257" s="298">
        <f t="shared" si="223"/>
        <v>0.57238669338839887</v>
      </c>
      <c r="AW257" s="298"/>
      <c r="AX257" s="24">
        <f t="shared" si="224"/>
        <v>30050.564516129034</v>
      </c>
      <c r="AY257" s="308"/>
      <c r="AZ257" s="10"/>
      <c r="BA257" s="65">
        <f t="shared" si="225"/>
        <v>1632877</v>
      </c>
      <c r="BB257" s="66"/>
      <c r="BC257" s="66">
        <v>180672584</v>
      </c>
      <c r="BD257" s="66"/>
      <c r="BE257" s="66">
        <f t="shared" si="226"/>
        <v>136627</v>
      </c>
      <c r="BF257" s="66"/>
      <c r="BG257" s="144">
        <f t="shared" si="227"/>
        <v>8.3672560762384426E-2</v>
      </c>
      <c r="BH257" s="66"/>
      <c r="BI257" s="170"/>
      <c r="BJ257" s="66"/>
      <c r="BK257" s="66">
        <f t="shared" si="228"/>
        <v>12516740</v>
      </c>
      <c r="BL257" s="66"/>
      <c r="BM257" s="144">
        <f t="shared" si="229"/>
        <v>9.5792434771354198E-2</v>
      </c>
      <c r="BN257" s="65">
        <f t="shared" si="230"/>
        <v>728518.48387096776</v>
      </c>
      <c r="BO257" s="66"/>
      <c r="BP257" s="66">
        <f t="shared" si="231"/>
        <v>12113136</v>
      </c>
      <c r="BQ257" s="66"/>
      <c r="BR257" s="435">
        <f t="shared" si="232"/>
        <v>6.7044682329887972E-2</v>
      </c>
      <c r="BS257" s="66"/>
      <c r="BT257" s="75"/>
      <c r="BU257" s="170"/>
      <c r="BV257" s="1"/>
      <c r="BW257" s="61">
        <f t="shared" si="189"/>
        <v>248</v>
      </c>
    </row>
    <row r="258" spans="2:75" x14ac:dyDescent="0.3">
      <c r="B258" s="158">
        <f t="shared" si="163"/>
        <v>44158</v>
      </c>
      <c r="C258" s="61"/>
      <c r="D258" s="17">
        <v>172300</v>
      </c>
      <c r="E258" s="16"/>
      <c r="F258" s="16"/>
      <c r="G258" s="16"/>
      <c r="H258" s="16">
        <f t="shared" si="212"/>
        <v>13192414</v>
      </c>
      <c r="I258" s="16"/>
      <c r="J258" s="436">
        <f t="shared" si="213"/>
        <v>1.323337107493836E-2</v>
      </c>
      <c r="K258" s="16"/>
      <c r="L258" s="16"/>
      <c r="M258" s="16"/>
      <c r="N258" s="16">
        <f t="shared" si="233"/>
        <v>1209160</v>
      </c>
      <c r="O258" s="16">
        <f t="shared" si="214"/>
        <v>52981.582329317273</v>
      </c>
      <c r="P258" s="41"/>
      <c r="Q258" s="17">
        <f t="shared" si="234"/>
        <v>1209160</v>
      </c>
      <c r="R258" s="16"/>
      <c r="S258" s="60">
        <f t="shared" si="235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5"/>
        <v>265468</v>
      </c>
      <c r="AB258" s="33"/>
      <c r="AC258" s="46">
        <f t="shared" si="216"/>
        <v>2.01227766199575E-2</v>
      </c>
      <c r="AD258" s="33"/>
      <c r="AE258" s="33">
        <f t="shared" si="217"/>
        <v>1066.136546184739</v>
      </c>
      <c r="AF258" s="50"/>
      <c r="AG258" s="33">
        <f t="shared" si="218"/>
        <v>10940</v>
      </c>
      <c r="AH258" s="33">
        <f t="shared" si="219"/>
        <v>1144122091.060914</v>
      </c>
      <c r="AI258" s="213">
        <f t="shared" si="220"/>
        <v>0.37109913522997867</v>
      </c>
      <c r="AJ258" s="50"/>
      <c r="AK258" s="10"/>
      <c r="AL258" s="23">
        <f t="shared" si="221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22"/>
        <v>1.2945116698467905E-2</v>
      </c>
      <c r="AS258" s="25"/>
      <c r="AT258" s="25"/>
      <c r="AU258" s="24"/>
      <c r="AV258" s="298">
        <f t="shared" si="223"/>
        <v>0.57222385531563824</v>
      </c>
      <c r="AW258" s="298"/>
      <c r="AX258" s="24">
        <f t="shared" si="224"/>
        <v>30317.325301204819</v>
      </c>
      <c r="AY258" s="308"/>
      <c r="AZ258" s="10"/>
      <c r="BA258" s="65">
        <f t="shared" si="225"/>
        <v>1957711</v>
      </c>
      <c r="BB258" s="66"/>
      <c r="BC258" s="66">
        <v>182630295</v>
      </c>
      <c r="BD258" s="66"/>
      <c r="BE258" s="66">
        <f t="shared" si="226"/>
        <v>172300</v>
      </c>
      <c r="BF258" s="66"/>
      <c r="BG258" s="144">
        <f t="shared" si="227"/>
        <v>8.8010947478969065E-2</v>
      </c>
      <c r="BH258" s="66"/>
      <c r="BI258" s="170"/>
      <c r="BJ258" s="66"/>
      <c r="BK258" s="66">
        <f t="shared" si="228"/>
        <v>12494291</v>
      </c>
      <c r="BL258" s="66"/>
      <c r="BM258" s="144">
        <f t="shared" si="229"/>
        <v>9.6776999991436088E-2</v>
      </c>
      <c r="BN258" s="65">
        <f t="shared" si="230"/>
        <v>733455</v>
      </c>
      <c r="BO258" s="66"/>
      <c r="BP258" s="66">
        <f t="shared" si="231"/>
        <v>12285436</v>
      </c>
      <c r="BQ258" s="66"/>
      <c r="BR258" s="435">
        <f t="shared" si="232"/>
        <v>6.7269430846618294E-2</v>
      </c>
      <c r="BS258" s="66"/>
      <c r="BT258" s="75"/>
      <c r="BU258" s="170"/>
      <c r="BV258" s="1"/>
      <c r="BW258" s="61">
        <f t="shared" si="189"/>
        <v>249</v>
      </c>
    </row>
    <row r="259" spans="2:75" x14ac:dyDescent="0.3">
      <c r="B259" s="158">
        <f t="shared" si="163"/>
        <v>44159</v>
      </c>
      <c r="C259" s="61"/>
      <c r="D259" s="17">
        <v>177082</v>
      </c>
      <c r="E259" s="16"/>
      <c r="F259" s="16"/>
      <c r="G259" s="16"/>
      <c r="H259" s="16">
        <f t="shared" si="212"/>
        <v>13369496</v>
      </c>
      <c r="I259" s="16"/>
      <c r="J259" s="436">
        <f t="shared" si="213"/>
        <v>1.3423017197610687E-2</v>
      </c>
      <c r="K259" s="16"/>
      <c r="L259" s="16"/>
      <c r="M259" s="16"/>
      <c r="N259" s="16">
        <f t="shared" si="233"/>
        <v>1228981</v>
      </c>
      <c r="O259" s="16">
        <f t="shared" si="214"/>
        <v>53477.983999999997</v>
      </c>
      <c r="P259" s="41"/>
      <c r="Q259" s="17">
        <f t="shared" si="234"/>
        <v>1228981</v>
      </c>
      <c r="R259" s="16"/>
      <c r="S259" s="60">
        <f t="shared" si="235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5"/>
        <v>267684</v>
      </c>
      <c r="AB259" s="33"/>
      <c r="AC259" s="46">
        <f t="shared" si="216"/>
        <v>2.0021996341522522E-2</v>
      </c>
      <c r="AD259" s="33"/>
      <c r="AE259" s="33">
        <f t="shared" si="217"/>
        <v>1070.7360000000001</v>
      </c>
      <c r="AF259" s="50"/>
      <c r="AG259" s="33">
        <f t="shared" si="218"/>
        <v>11541</v>
      </c>
      <c r="AH259" s="33">
        <f t="shared" si="219"/>
        <v>1144061202.060914</v>
      </c>
      <c r="AI259" s="213">
        <f t="shared" si="220"/>
        <v>0.39924830261881666</v>
      </c>
      <c r="AJ259" s="50"/>
      <c r="AK259" s="10"/>
      <c r="AL259" s="23">
        <f t="shared" si="221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22"/>
        <v>1.165609177569415E-2</v>
      </c>
      <c r="AS259" s="25"/>
      <c r="AT259" s="25"/>
      <c r="AU259" s="24"/>
      <c r="AV259" s="298">
        <f t="shared" si="223"/>
        <v>0.57122617038069345</v>
      </c>
      <c r="AW259" s="298"/>
      <c r="AX259" s="24">
        <f t="shared" si="224"/>
        <v>30548.024000000001</v>
      </c>
      <c r="AY259" s="308"/>
      <c r="AZ259" s="10"/>
      <c r="BA259" s="65">
        <f t="shared" si="225"/>
        <v>1731520</v>
      </c>
      <c r="BB259" s="66"/>
      <c r="BC259" s="66">
        <v>184361815</v>
      </c>
      <c r="BD259" s="66"/>
      <c r="BE259" s="66">
        <f t="shared" si="226"/>
        <v>177082</v>
      </c>
      <c r="BF259" s="66"/>
      <c r="BG259" s="144">
        <f t="shared" si="227"/>
        <v>0.10226968212899649</v>
      </c>
      <c r="BH259" s="66"/>
      <c r="BI259" s="170"/>
      <c r="BJ259" s="66"/>
      <c r="BK259" s="66">
        <f t="shared" si="228"/>
        <v>12670124</v>
      </c>
      <c r="BL259" s="66"/>
      <c r="BM259" s="144">
        <f t="shared" si="229"/>
        <v>9.6998340347734566E-2</v>
      </c>
      <c r="BN259" s="65">
        <f t="shared" si="230"/>
        <v>737447.26</v>
      </c>
      <c r="BO259" s="66"/>
      <c r="BP259" s="66">
        <f t="shared" si="231"/>
        <v>12462518</v>
      </c>
      <c r="BQ259" s="66"/>
      <c r="BR259" s="435">
        <f t="shared" si="232"/>
        <v>6.7598152035984238E-2</v>
      </c>
      <c r="BS259" s="66"/>
      <c r="BT259" s="75"/>
      <c r="BU259" s="170"/>
      <c r="BV259" s="1"/>
      <c r="BW259" s="61">
        <f t="shared" si="189"/>
        <v>250</v>
      </c>
    </row>
    <row r="260" spans="2:75" x14ac:dyDescent="0.3">
      <c r="B260" s="158">
        <f t="shared" si="163"/>
        <v>44160</v>
      </c>
      <c r="C260" s="61"/>
      <c r="D260" s="17">
        <v>180903</v>
      </c>
      <c r="E260" s="16"/>
      <c r="F260" s="16"/>
      <c r="G260" s="16"/>
      <c r="H260" s="16">
        <f t="shared" si="212"/>
        <v>13550399</v>
      </c>
      <c r="I260" s="16"/>
      <c r="J260" s="436">
        <f t="shared" si="213"/>
        <v>1.35310261508736E-2</v>
      </c>
      <c r="K260" s="16"/>
      <c r="L260" s="16"/>
      <c r="M260" s="16"/>
      <c r="N260" s="16">
        <f t="shared" si="233"/>
        <v>1236116</v>
      </c>
      <c r="O260" s="16">
        <f t="shared" si="214"/>
        <v>53985.653386454185</v>
      </c>
      <c r="P260" s="41"/>
      <c r="Q260" s="17">
        <f t="shared" si="234"/>
        <v>1236116</v>
      </c>
      <c r="R260" s="16"/>
      <c r="S260" s="60">
        <f t="shared" si="235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5"/>
        <v>269986</v>
      </c>
      <c r="AB260" s="33"/>
      <c r="AC260" s="46">
        <f t="shared" si="216"/>
        <v>1.9924579342645188E-2</v>
      </c>
      <c r="AD260" s="33"/>
      <c r="AE260" s="33">
        <f t="shared" si="217"/>
        <v>1075.6414342629482</v>
      </c>
      <c r="AF260" s="50"/>
      <c r="AG260" s="33">
        <f t="shared" si="218"/>
        <v>11879</v>
      </c>
      <c r="AH260" s="33">
        <f t="shared" si="219"/>
        <v>1143991361.060914</v>
      </c>
      <c r="AI260" s="213">
        <f t="shared" si="220"/>
        <v>0.35884237016700982</v>
      </c>
      <c r="AJ260" s="50"/>
      <c r="AK260" s="10"/>
      <c r="AL260" s="23">
        <f t="shared" si="221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22"/>
        <v>2.2034027470974882E-2</v>
      </c>
      <c r="AS260" s="25"/>
      <c r="AT260" s="25"/>
      <c r="AU260" s="24"/>
      <c r="AV260" s="298">
        <f t="shared" si="223"/>
        <v>0.57601846262977197</v>
      </c>
      <c r="AW260" s="298"/>
      <c r="AX260" s="24">
        <f t="shared" si="224"/>
        <v>31096.733067729085</v>
      </c>
      <c r="AY260" s="308"/>
      <c r="AZ260" s="10"/>
      <c r="BA260" s="65">
        <f t="shared" si="225"/>
        <v>1743927</v>
      </c>
      <c r="BB260" s="66"/>
      <c r="BC260" s="66">
        <v>186105742</v>
      </c>
      <c r="BD260" s="66"/>
      <c r="BE260" s="66">
        <f t="shared" si="226"/>
        <v>180903</v>
      </c>
      <c r="BF260" s="66"/>
      <c r="BG260" s="144">
        <f t="shared" si="227"/>
        <v>0.10373312644393945</v>
      </c>
      <c r="BH260" s="66"/>
      <c r="BI260" s="170"/>
      <c r="BJ260" s="66"/>
      <c r="BK260" s="66">
        <f t="shared" si="228"/>
        <v>12869913</v>
      </c>
      <c r="BL260" s="66"/>
      <c r="BM260" s="144">
        <f t="shared" si="229"/>
        <v>9.6046958514793376E-2</v>
      </c>
      <c r="BN260" s="65">
        <f t="shared" si="230"/>
        <v>741457.13944223104</v>
      </c>
      <c r="BO260" s="66"/>
      <c r="BP260" s="66">
        <f t="shared" si="231"/>
        <v>12643421</v>
      </c>
      <c r="BQ260" s="66"/>
      <c r="BR260" s="435">
        <f t="shared" si="232"/>
        <v>6.793675930751239E-2</v>
      </c>
      <c r="BS260" s="66"/>
      <c r="BT260" s="75"/>
      <c r="BU260" s="170"/>
      <c r="BV260" s="1"/>
      <c r="BW260" s="61">
        <f t="shared" si="189"/>
        <v>251</v>
      </c>
    </row>
    <row r="261" spans="2:75" x14ac:dyDescent="0.3">
      <c r="B261" s="158">
        <f t="shared" si="163"/>
        <v>44161</v>
      </c>
      <c r="C261" s="61"/>
      <c r="D261" s="17">
        <v>108063</v>
      </c>
      <c r="E261" s="16"/>
      <c r="F261" s="16"/>
      <c r="G261" s="16"/>
      <c r="H261" s="16">
        <f t="shared" si="212"/>
        <v>13658462</v>
      </c>
      <c r="I261" s="16"/>
      <c r="J261" s="436">
        <f t="shared" si="213"/>
        <v>7.9748943186101016E-3</v>
      </c>
      <c r="K261" s="16"/>
      <c r="L261" s="16"/>
      <c r="M261" s="16"/>
      <c r="N261" s="16">
        <f t="shared" si="233"/>
        <v>1151993</v>
      </c>
      <c r="O261" s="16">
        <f t="shared" si="214"/>
        <v>54200.246031746028</v>
      </c>
      <c r="P261" s="41"/>
      <c r="Q261" s="17">
        <f t="shared" si="234"/>
        <v>1151993</v>
      </c>
      <c r="R261" s="16"/>
      <c r="S261" s="60">
        <f t="shared" si="235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5"/>
        <v>271292</v>
      </c>
      <c r="AB261" s="33"/>
      <c r="AC261" s="46">
        <f t="shared" si="216"/>
        <v>1.9862558463756754E-2</v>
      </c>
      <c r="AD261" s="33"/>
      <c r="AE261" s="33">
        <f t="shared" si="217"/>
        <v>1076.5555555555557</v>
      </c>
      <c r="AF261" s="50"/>
      <c r="AG261" s="33">
        <f t="shared" si="218"/>
        <v>11120</v>
      </c>
      <c r="AH261" s="33">
        <f t="shared" si="219"/>
        <v>1143916289.060914</v>
      </c>
      <c r="AI261" s="213">
        <f t="shared" si="220"/>
        <v>0.15628574399500883</v>
      </c>
      <c r="AJ261" s="50"/>
      <c r="AK261" s="10"/>
      <c r="AL261" s="23">
        <f t="shared" si="221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22"/>
        <v>5.3287005719205461E-3</v>
      </c>
      <c r="AS261" s="25"/>
      <c r="AT261" s="25"/>
      <c r="AU261" s="24"/>
      <c r="AV261" s="298">
        <f t="shared" si="223"/>
        <v>0.57450626578600139</v>
      </c>
      <c r="AW261" s="298"/>
      <c r="AX261" s="24">
        <f t="shared" si="224"/>
        <v>31138.380952380954</v>
      </c>
      <c r="AY261" s="308"/>
      <c r="AZ261" s="10"/>
      <c r="BA261" s="65">
        <f t="shared" si="225"/>
        <v>1036887</v>
      </c>
      <c r="BB261" s="66"/>
      <c r="BC261" s="66">
        <v>187142629</v>
      </c>
      <c r="BD261" s="66"/>
      <c r="BE261" s="66">
        <f t="shared" si="226"/>
        <v>108063</v>
      </c>
      <c r="BF261" s="66"/>
      <c r="BG261" s="144">
        <f t="shared" si="227"/>
        <v>0.10421868535337023</v>
      </c>
      <c r="BH261" s="66"/>
      <c r="BI261" s="170"/>
      <c r="BJ261" s="66"/>
      <c r="BK261" s="66">
        <f t="shared" si="228"/>
        <v>12158384</v>
      </c>
      <c r="BL261" s="66"/>
      <c r="BM261" s="144">
        <f t="shared" si="229"/>
        <v>9.4748858071927983E-2</v>
      </c>
      <c r="BN261" s="65">
        <f t="shared" si="230"/>
        <v>742629.48015873018</v>
      </c>
      <c r="BO261" s="66"/>
      <c r="BP261" s="66">
        <f t="shared" si="231"/>
        <v>12751484</v>
      </c>
      <c r="BQ261" s="66"/>
      <c r="BR261" s="435">
        <f t="shared" si="232"/>
        <v>6.8137783829038762E-2</v>
      </c>
      <c r="BS261" s="66"/>
      <c r="BT261" s="75"/>
      <c r="BU261" s="170"/>
      <c r="BV261" s="1"/>
      <c r="BW261" s="61">
        <f t="shared" si="189"/>
        <v>252</v>
      </c>
    </row>
    <row r="262" spans="2:75" x14ac:dyDescent="0.3">
      <c r="B262" s="158">
        <f t="shared" si="163"/>
        <v>44162</v>
      </c>
      <c r="C262" s="61"/>
      <c r="D262" s="17">
        <v>164012</v>
      </c>
      <c r="E262" s="16"/>
      <c r="F262" s="16"/>
      <c r="G262" s="16"/>
      <c r="H262" s="16">
        <f t="shared" ref="H262:H293" si="236">+H261+D262</f>
        <v>13822474</v>
      </c>
      <c r="I262" s="16"/>
      <c r="J262" s="436">
        <f t="shared" ref="J262:J293" si="237">+D262/H261</f>
        <v>1.2008087001303661E-2</v>
      </c>
      <c r="K262" s="16"/>
      <c r="L262" s="16"/>
      <c r="M262" s="16"/>
      <c r="N262" s="16">
        <f t="shared" si="233"/>
        <v>1111826</v>
      </c>
      <c r="O262" s="16">
        <f t="shared" ref="O262:O293" si="238">+H262/BW262</f>
        <v>54634.28458498024</v>
      </c>
      <c r="P262" s="41"/>
      <c r="Q262" s="17">
        <f t="shared" si="234"/>
        <v>1111826</v>
      </c>
      <c r="R262" s="16"/>
      <c r="S262" s="60">
        <f t="shared" si="235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9">+AA261+W262</f>
        <v>272656</v>
      </c>
      <c r="AB262" s="33"/>
      <c r="AC262" s="46">
        <f t="shared" ref="AC262:AC293" si="240">+AA262/H262</f>
        <v>1.9725557089128907E-2</v>
      </c>
      <c r="AD262" s="33"/>
      <c r="AE262" s="33">
        <f t="shared" ref="AE262:AE293" si="241">+AA262/BW262</f>
        <v>1077.691699604743</v>
      </c>
      <c r="AF262" s="50"/>
      <c r="AG262" s="33">
        <f t="shared" ref="AG262:AG293" si="242">SUM(W256:W262)</f>
        <v>10486</v>
      </c>
      <c r="AH262" s="33">
        <f t="shared" si="219"/>
        <v>1143834708.060914</v>
      </c>
      <c r="AI262" s="213">
        <f t="shared" ref="AI262:AI293" si="243">+(AG262-AG255)/AG255</f>
        <v>2.6027397260273973E-2</v>
      </c>
      <c r="AJ262" s="50"/>
      <c r="AK262" s="10"/>
      <c r="AL262" s="23">
        <f t="shared" ref="AL262:AL293" si="244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5">+AL262/AP261</f>
        <v>1.2579534877082231E-2</v>
      </c>
      <c r="AS262" s="25"/>
      <c r="AT262" s="25"/>
      <c r="AU262" s="24"/>
      <c r="AV262" s="298">
        <f t="shared" ref="AV262:AV293" si="246">+AP262/H262</f>
        <v>0.57483067068890847</v>
      </c>
      <c r="AW262" s="298"/>
      <c r="AX262" s="24">
        <f t="shared" ref="AX262:AX293" si="247">+AP262/BW262</f>
        <v>31405.462450592884</v>
      </c>
      <c r="AY262" s="308"/>
      <c r="AZ262" s="10"/>
      <c r="BA262" s="65">
        <f t="shared" ref="BA262:BA293" si="248">+BC262-BC261</f>
        <v>2146376</v>
      </c>
      <c r="BB262" s="66"/>
      <c r="BC262" s="66">
        <v>189289005</v>
      </c>
      <c r="BD262" s="66"/>
      <c r="BE262" s="66">
        <f t="shared" ref="BE262:BE293" si="249">+D262</f>
        <v>164012</v>
      </c>
      <c r="BF262" s="66"/>
      <c r="BG262" s="144">
        <f t="shared" ref="BG262:BG293" si="250">+BE262/BA262</f>
        <v>7.6413452256268236E-2</v>
      </c>
      <c r="BH262" s="66"/>
      <c r="BI262" s="170"/>
      <c r="BJ262" s="66"/>
      <c r="BK262" s="66">
        <f t="shared" ref="BK262:BK293" si="251">SUM(BA256:BA262)</f>
        <v>12132164</v>
      </c>
      <c r="BL262" s="66"/>
      <c r="BM262" s="144">
        <f t="shared" ref="BM262:BM293" si="252">+Q262/BK262</f>
        <v>9.1642842942116512E-2</v>
      </c>
      <c r="BN262" s="65">
        <f t="shared" ref="BN262:BN293" si="253">+BC262/BW262</f>
        <v>748177.88537549402</v>
      </c>
      <c r="BO262" s="66"/>
      <c r="BP262" s="66">
        <f t="shared" ref="BP262:BP293" si="254">+BP261+BE262</f>
        <v>12915496</v>
      </c>
      <c r="BQ262" s="66"/>
      <c r="BR262" s="435">
        <f t="shared" ref="BR262:BR297" si="255">+BP262/BC262</f>
        <v>6.823162285627736E-2</v>
      </c>
      <c r="BS262" s="66"/>
      <c r="BT262" s="75"/>
      <c r="BU262" s="170"/>
      <c r="BV262" s="1"/>
      <c r="BW262" s="61">
        <f t="shared" si="189"/>
        <v>253</v>
      </c>
    </row>
    <row r="263" spans="2:75" x14ac:dyDescent="0.3">
      <c r="B263" s="158">
        <f t="shared" si="163"/>
        <v>44163</v>
      </c>
      <c r="C263" s="61"/>
      <c r="D263" s="17">
        <v>143373</v>
      </c>
      <c r="E263" s="16"/>
      <c r="F263" s="16"/>
      <c r="G263" s="16"/>
      <c r="H263" s="16">
        <f t="shared" si="236"/>
        <v>13965847</v>
      </c>
      <c r="I263" s="16"/>
      <c r="J263" s="436">
        <f t="shared" si="237"/>
        <v>1.0372455755749658E-2</v>
      </c>
      <c r="K263" s="16"/>
      <c r="L263" s="16"/>
      <c r="M263" s="16"/>
      <c r="N263" s="16">
        <f t="shared" si="233"/>
        <v>1082360</v>
      </c>
      <c r="O263" s="16">
        <f t="shared" si="238"/>
        <v>54983.649606299216</v>
      </c>
      <c r="P263" s="41"/>
      <c r="Q263" s="17">
        <f t="shared" si="234"/>
        <v>1082360</v>
      </c>
      <c r="R263" s="16"/>
      <c r="S263" s="60">
        <f t="shared" si="235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9"/>
        <v>273872</v>
      </c>
      <c r="AB263" s="33"/>
      <c r="AC263" s="46">
        <f t="shared" si="240"/>
        <v>1.9610124613279812E-2</v>
      </c>
      <c r="AD263" s="33"/>
      <c r="AE263" s="33">
        <f t="shared" si="241"/>
        <v>1078.2362204724409</v>
      </c>
      <c r="AF263" s="50"/>
      <c r="AG263" s="33">
        <f t="shared" si="242"/>
        <v>10242</v>
      </c>
      <c r="AH263" s="33">
        <f t="shared" si="219"/>
        <v>1143743178.060914</v>
      </c>
      <c r="AI263" s="213">
        <f t="shared" si="243"/>
        <v>-1.708253358925144E-2</v>
      </c>
      <c r="AJ263" s="50"/>
      <c r="AK263" s="10"/>
      <c r="AL263" s="23">
        <f t="shared" si="244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5"/>
        <v>1.203901740615099E-2</v>
      </c>
      <c r="AS263" s="25"/>
      <c r="AT263" s="25"/>
      <c r="AU263" s="24"/>
      <c r="AV263" s="298">
        <f t="shared" si="246"/>
        <v>0.57577882673353076</v>
      </c>
      <c r="AW263" s="298"/>
      <c r="AX263" s="24">
        <f t="shared" si="247"/>
        <v>31658.421259842518</v>
      </c>
      <c r="AY263" s="308"/>
      <c r="AZ263" s="10"/>
      <c r="BA263" s="65">
        <f t="shared" si="248"/>
        <v>1744219</v>
      </c>
      <c r="BB263" s="66"/>
      <c r="BC263" s="66">
        <v>191033224</v>
      </c>
      <c r="BD263" s="66"/>
      <c r="BE263" s="66">
        <f t="shared" si="249"/>
        <v>143373</v>
      </c>
      <c r="BF263" s="66"/>
      <c r="BG263" s="144">
        <f t="shared" si="250"/>
        <v>8.2198966987517053E-2</v>
      </c>
      <c r="BH263" s="66"/>
      <c r="BI263" s="170"/>
      <c r="BJ263" s="66"/>
      <c r="BK263" s="66">
        <f t="shared" si="251"/>
        <v>11993517</v>
      </c>
      <c r="BL263" s="66"/>
      <c r="BM263" s="144">
        <f t="shared" si="252"/>
        <v>9.0245421755770217E-2</v>
      </c>
      <c r="BN263" s="65">
        <f t="shared" si="253"/>
        <v>752099.30708661419</v>
      </c>
      <c r="BO263" s="66"/>
      <c r="BP263" s="66">
        <f t="shared" si="254"/>
        <v>13058869</v>
      </c>
      <c r="BQ263" s="66"/>
      <c r="BR263" s="435">
        <f t="shared" si="255"/>
        <v>6.8359150971560839E-2</v>
      </c>
      <c r="BS263" s="66"/>
      <c r="BT263" s="75"/>
      <c r="BU263" s="170"/>
      <c r="BV263" s="1"/>
      <c r="BW263" s="61">
        <f t="shared" si="189"/>
        <v>254</v>
      </c>
    </row>
    <row r="264" spans="2:75" x14ac:dyDescent="0.3">
      <c r="B264" s="347">
        <f t="shared" si="163"/>
        <v>44164</v>
      </c>
      <c r="C264" s="61"/>
      <c r="D264" s="17">
        <v>138188</v>
      </c>
      <c r="E264" s="16"/>
      <c r="F264" s="16"/>
      <c r="G264" s="16"/>
      <c r="H264" s="16">
        <f t="shared" si="236"/>
        <v>14104035</v>
      </c>
      <c r="I264" s="16"/>
      <c r="J264" s="436">
        <f t="shared" si="237"/>
        <v>9.8947095725737226E-3</v>
      </c>
      <c r="K264" s="16"/>
      <c r="L264" s="16"/>
      <c r="M264" s="16"/>
      <c r="N264" s="16">
        <f t="shared" si="233"/>
        <v>1083921</v>
      </c>
      <c r="O264" s="16">
        <f t="shared" si="238"/>
        <v>55309.941176470587</v>
      </c>
      <c r="P264" s="41"/>
      <c r="Q264" s="17">
        <f t="shared" si="234"/>
        <v>1083921</v>
      </c>
      <c r="R264" s="16"/>
      <c r="S264" s="60">
        <f t="shared" si="235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9"/>
        <v>274691</v>
      </c>
      <c r="AB264" s="33"/>
      <c r="AC264" s="46">
        <f t="shared" si="240"/>
        <v>1.947605773808701E-2</v>
      </c>
      <c r="AD264" s="33"/>
      <c r="AE264" s="33">
        <f t="shared" si="241"/>
        <v>1077.2196078431373</v>
      </c>
      <c r="AF264" s="50"/>
      <c r="AG264" s="33">
        <f t="shared" si="242"/>
        <v>10195</v>
      </c>
      <c r="AH264" s="33">
        <f t="shared" si="219"/>
        <v>1143641717.060914</v>
      </c>
      <c r="AI264" s="213">
        <f t="shared" si="243"/>
        <v>-4.7819183711590552E-2</v>
      </c>
      <c r="AJ264" s="50"/>
      <c r="AK264" s="10"/>
      <c r="AL264" s="23">
        <f t="shared" si="244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5"/>
        <v>8.2032134600153028E-3</v>
      </c>
      <c r="AS264" s="25"/>
      <c r="AT264" s="25"/>
      <c r="AU264" s="24"/>
      <c r="AV264" s="298">
        <f t="shared" si="246"/>
        <v>0.57481444139921656</v>
      </c>
      <c r="AW264" s="298"/>
      <c r="AX264" s="24">
        <f t="shared" si="247"/>
        <v>31792.952941176471</v>
      </c>
      <c r="AY264" s="308"/>
      <c r="AZ264" s="10"/>
      <c r="BA264" s="65">
        <f t="shared" si="248"/>
        <v>1238144</v>
      </c>
      <c r="BB264" s="66"/>
      <c r="BC264" s="66">
        <v>192271368</v>
      </c>
      <c r="BD264" s="66"/>
      <c r="BE264" s="66">
        <f t="shared" si="249"/>
        <v>138188</v>
      </c>
      <c r="BF264" s="66"/>
      <c r="BG264" s="144">
        <f t="shared" si="250"/>
        <v>0.11160898893828182</v>
      </c>
      <c r="BH264" s="66"/>
      <c r="BI264" s="170"/>
      <c r="BJ264" s="66"/>
      <c r="BK264" s="66">
        <f t="shared" si="251"/>
        <v>11598784</v>
      </c>
      <c r="BL264" s="66"/>
      <c r="BM264" s="144">
        <f t="shared" si="252"/>
        <v>9.3451261787442549E-2</v>
      </c>
      <c r="BN264" s="65">
        <f t="shared" si="253"/>
        <v>754005.36470588238</v>
      </c>
      <c r="BO264" s="66"/>
      <c r="BP264" s="66">
        <f t="shared" si="254"/>
        <v>13197057</v>
      </c>
      <c r="BQ264" s="66"/>
      <c r="BR264" s="435">
        <f t="shared" si="255"/>
        <v>6.8637661120713511E-2</v>
      </c>
      <c r="BS264" s="66"/>
      <c r="BT264" s="75"/>
      <c r="BU264" s="170"/>
      <c r="BV264" s="1"/>
      <c r="BW264" s="61">
        <f t="shared" si="189"/>
        <v>255</v>
      </c>
    </row>
    <row r="265" spans="2:75" x14ac:dyDescent="0.3">
      <c r="B265" s="158">
        <f t="shared" si="163"/>
        <v>44165</v>
      </c>
      <c r="C265" s="61"/>
      <c r="D265" s="17">
        <v>161568</v>
      </c>
      <c r="E265" s="16"/>
      <c r="F265" s="16"/>
      <c r="G265" s="16"/>
      <c r="H265" s="16">
        <f t="shared" si="236"/>
        <v>14265603</v>
      </c>
      <c r="I265" s="16"/>
      <c r="J265" s="436">
        <f t="shared" si="237"/>
        <v>1.1455445197065947E-2</v>
      </c>
      <c r="K265" s="16"/>
      <c r="L265" s="16"/>
      <c r="M265" s="16"/>
      <c r="N265" s="16">
        <f t="shared" si="233"/>
        <v>1073189</v>
      </c>
      <c r="O265" s="16">
        <f t="shared" si="238"/>
        <v>55725.01171875</v>
      </c>
      <c r="P265" s="41"/>
      <c r="Q265" s="17">
        <f t="shared" si="234"/>
        <v>1073189</v>
      </c>
      <c r="R265" s="16"/>
      <c r="S265" s="60">
        <f t="shared" si="235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9"/>
        <v>275929</v>
      </c>
      <c r="AB265" s="33"/>
      <c r="AC265" s="46">
        <f t="shared" si="240"/>
        <v>1.9342259839980124E-2</v>
      </c>
      <c r="AD265" s="33"/>
      <c r="AE265" s="33">
        <f t="shared" si="241"/>
        <v>1077.84765625</v>
      </c>
      <c r="AF265" s="50"/>
      <c r="AG265" s="33">
        <f t="shared" si="242"/>
        <v>10461</v>
      </c>
      <c r="AH265" s="33">
        <f t="shared" si="219"/>
        <v>1143555424.060914</v>
      </c>
      <c r="AI265" s="213">
        <f t="shared" si="243"/>
        <v>-4.3784277879341867E-2</v>
      </c>
      <c r="AJ265" s="50"/>
      <c r="AK265" s="10"/>
      <c r="AL265" s="23">
        <f t="shared" si="244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5"/>
        <v>1.4268299436932811E-2</v>
      </c>
      <c r="AS265" s="25"/>
      <c r="AT265" s="25"/>
      <c r="AU265" s="24"/>
      <c r="AV265" s="298">
        <f t="shared" si="246"/>
        <v>0.57641299845509508</v>
      </c>
      <c r="AW265" s="298"/>
      <c r="AX265" s="24">
        <f t="shared" si="247"/>
        <v>32120.62109375</v>
      </c>
      <c r="AY265" s="308"/>
      <c r="AZ265" s="10"/>
      <c r="BA265" s="65">
        <f t="shared" si="248"/>
        <v>2637381</v>
      </c>
      <c r="BB265" s="66"/>
      <c r="BC265" s="66">
        <v>194908749</v>
      </c>
      <c r="BD265" s="66"/>
      <c r="BE265" s="66">
        <f t="shared" si="249"/>
        <v>161568</v>
      </c>
      <c r="BF265" s="66"/>
      <c r="BG265" s="144">
        <f t="shared" si="250"/>
        <v>6.1260773471864705E-2</v>
      </c>
      <c r="BH265" s="66"/>
      <c r="BI265" s="170"/>
      <c r="BJ265" s="66"/>
      <c r="BK265" s="66">
        <f t="shared" si="251"/>
        <v>12278454</v>
      </c>
      <c r="BL265" s="66"/>
      <c r="BM265" s="144">
        <f t="shared" si="252"/>
        <v>8.7404244866658293E-2</v>
      </c>
      <c r="BN265" s="65">
        <f t="shared" si="253"/>
        <v>761362.30078125</v>
      </c>
      <c r="BO265" s="66"/>
      <c r="BP265" s="66">
        <f t="shared" si="254"/>
        <v>13358625</v>
      </c>
      <c r="BQ265" s="66"/>
      <c r="BR265" s="435">
        <f t="shared" si="255"/>
        <v>6.8537841777436062E-2</v>
      </c>
      <c r="BS265" s="66"/>
      <c r="BT265" s="75"/>
      <c r="BU265" s="170"/>
      <c r="BV265" s="1"/>
      <c r="BW265" s="61">
        <f t="shared" si="189"/>
        <v>256</v>
      </c>
    </row>
    <row r="266" spans="2:75" x14ac:dyDescent="0.3">
      <c r="B266" s="158">
        <f t="shared" si="163"/>
        <v>44166</v>
      </c>
      <c r="C266" s="61"/>
      <c r="D266" s="17">
        <v>182276</v>
      </c>
      <c r="E266" s="16"/>
      <c r="F266" s="16"/>
      <c r="G266" s="16"/>
      <c r="H266" s="16">
        <f t="shared" si="236"/>
        <v>14447879</v>
      </c>
      <c r="I266" s="16"/>
      <c r="J266" s="436">
        <f t="shared" si="237"/>
        <v>1.2777307766100037E-2</v>
      </c>
      <c r="K266" s="16"/>
      <c r="L266" s="16"/>
      <c r="M266" s="16"/>
      <c r="N266" s="16">
        <f t="shared" si="233"/>
        <v>1078383</v>
      </c>
      <c r="O266" s="16">
        <f t="shared" si="238"/>
        <v>56217.428015564205</v>
      </c>
      <c r="P266" s="41"/>
      <c r="Q266" s="17">
        <f t="shared" si="234"/>
        <v>1078383</v>
      </c>
      <c r="R266" s="16"/>
      <c r="S266" s="60">
        <f t="shared" si="235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9"/>
        <v>278543</v>
      </c>
      <c r="AB266" s="33"/>
      <c r="AC266" s="46">
        <f t="shared" si="240"/>
        <v>1.9279162014022959E-2</v>
      </c>
      <c r="AD266" s="33"/>
      <c r="AE266" s="33">
        <f t="shared" si="241"/>
        <v>1083.8249027237355</v>
      </c>
      <c r="AF266" s="50"/>
      <c r="AG266" s="33">
        <f t="shared" si="242"/>
        <v>10859</v>
      </c>
      <c r="AH266" s="33">
        <f t="shared" si="219"/>
        <v>1143484103.060914</v>
      </c>
      <c r="AI266" s="213">
        <f t="shared" si="243"/>
        <v>-5.9093666060133436E-2</v>
      </c>
      <c r="AJ266" s="50"/>
      <c r="AK266" s="10"/>
      <c r="AL266" s="23">
        <f t="shared" si="244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5"/>
        <v>1.3423035897767679E-2</v>
      </c>
      <c r="AS266" s="25"/>
      <c r="AT266" s="25"/>
      <c r="AU266" s="24"/>
      <c r="AV266" s="298">
        <f t="shared" si="246"/>
        <v>0.57678050875149223</v>
      </c>
      <c r="AW266" s="298"/>
      <c r="AX266" s="24">
        <f t="shared" si="247"/>
        <v>32425.116731517508</v>
      </c>
      <c r="AY266" s="308"/>
      <c r="AZ266" s="10"/>
      <c r="BA266" s="65">
        <f t="shared" si="248"/>
        <v>1298299</v>
      </c>
      <c r="BB266" s="66"/>
      <c r="BC266" s="66">
        <v>196207048</v>
      </c>
      <c r="BD266" s="66"/>
      <c r="BE266" s="66">
        <f t="shared" si="249"/>
        <v>182276</v>
      </c>
      <c r="BF266" s="66"/>
      <c r="BG266" s="144">
        <f t="shared" si="250"/>
        <v>0.14039601047216396</v>
      </c>
      <c r="BH266" s="66"/>
      <c r="BI266" s="170"/>
      <c r="BJ266" s="66"/>
      <c r="BK266" s="66">
        <f t="shared" si="251"/>
        <v>11845233</v>
      </c>
      <c r="BL266" s="66"/>
      <c r="BM266" s="144">
        <f t="shared" si="252"/>
        <v>9.1039408004891076E-2</v>
      </c>
      <c r="BN266" s="65">
        <f t="shared" si="253"/>
        <v>763451.54863813228</v>
      </c>
      <c r="BO266" s="66"/>
      <c r="BP266" s="66">
        <f t="shared" si="254"/>
        <v>13540901</v>
      </c>
      <c r="BQ266" s="66"/>
      <c r="BR266" s="435">
        <f t="shared" si="255"/>
        <v>6.901332616756968E-2</v>
      </c>
      <c r="BS266" s="66"/>
      <c r="BT266" s="75"/>
      <c r="BU266" s="170"/>
      <c r="BV266" s="1"/>
      <c r="BW266" s="61">
        <f t="shared" si="189"/>
        <v>257</v>
      </c>
    </row>
    <row r="267" spans="2:75" x14ac:dyDescent="0.3">
      <c r="B267" s="158">
        <f t="shared" si="163"/>
        <v>44167</v>
      </c>
      <c r="C267" s="61"/>
      <c r="D267" s="17">
        <v>203737</v>
      </c>
      <c r="E267" s="16"/>
      <c r="F267" s="16"/>
      <c r="G267" s="16"/>
      <c r="H267" s="16">
        <f t="shared" si="236"/>
        <v>14651616</v>
      </c>
      <c r="I267" s="16"/>
      <c r="J267" s="436">
        <f t="shared" si="237"/>
        <v>1.4101516215632758E-2</v>
      </c>
      <c r="K267" s="16"/>
      <c r="L267" s="16"/>
      <c r="M267" s="16"/>
      <c r="N267" s="16">
        <f t="shared" si="233"/>
        <v>1101217</v>
      </c>
      <c r="O267" s="16">
        <f t="shared" si="238"/>
        <v>56789.20930232558</v>
      </c>
      <c r="P267" s="41"/>
      <c r="Q267" s="17">
        <f t="shared" si="234"/>
        <v>1101217</v>
      </c>
      <c r="R267" s="16"/>
      <c r="S267" s="60">
        <f t="shared" si="235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9"/>
        <v>281376</v>
      </c>
      <c r="AB267" s="33"/>
      <c r="AC267" s="46">
        <f t="shared" si="240"/>
        <v>1.9204434514254264E-2</v>
      </c>
      <c r="AD267" s="33"/>
      <c r="AE267" s="33">
        <f t="shared" si="241"/>
        <v>1090.6046511627908</v>
      </c>
      <c r="AF267" s="50"/>
      <c r="AG267" s="33">
        <f t="shared" si="242"/>
        <v>11390</v>
      </c>
      <c r="AH267" s="33">
        <f t="shared" si="219"/>
        <v>1143395198.060914</v>
      </c>
      <c r="AI267" s="213">
        <f t="shared" si="243"/>
        <v>-4.1165081235794258E-2</v>
      </c>
      <c r="AJ267" s="50"/>
      <c r="AK267" s="10"/>
      <c r="AL267" s="23">
        <f t="shared" si="244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5"/>
        <v>1.5501625715281724E-2</v>
      </c>
      <c r="AS267" s="25"/>
      <c r="AT267" s="25"/>
      <c r="AU267" s="24"/>
      <c r="AV267" s="298">
        <f t="shared" si="246"/>
        <v>0.57757683521053238</v>
      </c>
      <c r="AW267" s="298"/>
      <c r="AX267" s="24">
        <f t="shared" si="247"/>
        <v>32800.131782945733</v>
      </c>
      <c r="AY267" s="308"/>
      <c r="AZ267" s="10"/>
      <c r="BA267" s="65">
        <f t="shared" si="248"/>
        <v>3699465</v>
      </c>
      <c r="BB267" s="66"/>
      <c r="BC267" s="66">
        <v>199906513</v>
      </c>
      <c r="BD267" s="66"/>
      <c r="BE267" s="66">
        <f t="shared" si="249"/>
        <v>203737</v>
      </c>
      <c r="BF267" s="66"/>
      <c r="BG267" s="144">
        <f t="shared" si="250"/>
        <v>5.5072017170050266E-2</v>
      </c>
      <c r="BH267" s="66"/>
      <c r="BI267" s="170"/>
      <c r="BJ267" s="66"/>
      <c r="BK267" s="66">
        <f t="shared" si="251"/>
        <v>13800771</v>
      </c>
      <c r="BL267" s="66"/>
      <c r="BM267" s="144">
        <f t="shared" si="252"/>
        <v>7.9793875284214194E-2</v>
      </c>
      <c r="BN267" s="65">
        <f t="shared" si="253"/>
        <v>774831.44573643408</v>
      </c>
      <c r="BO267" s="66"/>
      <c r="BP267" s="66">
        <f t="shared" si="254"/>
        <v>13744638</v>
      </c>
      <c r="BQ267" s="66"/>
      <c r="BR267" s="435">
        <f t="shared" si="255"/>
        <v>6.8755328647046129E-2</v>
      </c>
      <c r="BS267" s="66"/>
      <c r="BT267" s="75"/>
      <c r="BU267" s="170"/>
      <c r="BV267" s="1"/>
      <c r="BW267" s="61">
        <f t="shared" si="189"/>
        <v>258</v>
      </c>
    </row>
    <row r="268" spans="2:75" x14ac:dyDescent="0.3">
      <c r="B268" s="158">
        <f t="shared" si="163"/>
        <v>44168</v>
      </c>
      <c r="C268" s="61"/>
      <c r="D268" s="17">
        <v>218576</v>
      </c>
      <c r="E268" s="16"/>
      <c r="F268" s="16"/>
      <c r="G268" s="16"/>
      <c r="H268" s="16">
        <f t="shared" si="236"/>
        <v>14870192</v>
      </c>
      <c r="I268" s="16"/>
      <c r="J268" s="436">
        <f t="shared" si="237"/>
        <v>1.4918217894872484E-2</v>
      </c>
      <c r="K268" s="16"/>
      <c r="L268" s="16"/>
      <c r="M268" s="16"/>
      <c r="N268" s="16">
        <f t="shared" ref="N268:N299" si="256">SUM(D262:D268)</f>
        <v>1211730</v>
      </c>
      <c r="O268" s="16">
        <f t="shared" si="238"/>
        <v>57413.868725868728</v>
      </c>
      <c r="P268" s="41"/>
      <c r="Q268" s="17">
        <f t="shared" si="234"/>
        <v>1211730</v>
      </c>
      <c r="R268" s="16"/>
      <c r="S268" s="60">
        <f t="shared" si="235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9"/>
        <v>284294</v>
      </c>
      <c r="AB268" s="33"/>
      <c r="AC268" s="46">
        <f t="shared" si="240"/>
        <v>1.9118381255601811E-2</v>
      </c>
      <c r="AD268" s="33"/>
      <c r="AE268" s="33">
        <f t="shared" si="241"/>
        <v>1097.6602316602316</v>
      </c>
      <c r="AF268" s="50"/>
      <c r="AG268" s="33">
        <f t="shared" si="242"/>
        <v>13002</v>
      </c>
      <c r="AH268" s="33">
        <f t="shared" si="219"/>
        <v>1143300731.060914</v>
      </c>
      <c r="AI268" s="213">
        <f t="shared" si="243"/>
        <v>0.16924460431654675</v>
      </c>
      <c r="AJ268" s="50"/>
      <c r="AK268" s="10"/>
      <c r="AL268" s="23">
        <f t="shared" si="244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5"/>
        <v>1.1697934660406214E-2</v>
      </c>
      <c r="AS268" s="25"/>
      <c r="AT268" s="25"/>
      <c r="AU268" s="24"/>
      <c r="AV268" s="298">
        <f t="shared" si="246"/>
        <v>0.57574421365911077</v>
      </c>
      <c r="AW268" s="298"/>
      <c r="AX268" s="24">
        <f t="shared" si="247"/>
        <v>33055.7027027027</v>
      </c>
      <c r="AY268" s="308"/>
      <c r="AZ268" s="10"/>
      <c r="BA268" s="65">
        <f t="shared" si="248"/>
        <v>1862950</v>
      </c>
      <c r="BB268" s="66"/>
      <c r="BC268" s="66">
        <v>201769463</v>
      </c>
      <c r="BD268" s="66"/>
      <c r="BE268" s="66">
        <f t="shared" si="249"/>
        <v>218576</v>
      </c>
      <c r="BF268" s="66"/>
      <c r="BG268" s="144">
        <f t="shared" si="250"/>
        <v>0.11732789393166752</v>
      </c>
      <c r="BH268" s="66"/>
      <c r="BI268" s="170"/>
      <c r="BJ268" s="66"/>
      <c r="BK268" s="66">
        <f t="shared" si="251"/>
        <v>14626834</v>
      </c>
      <c r="BL268" s="66"/>
      <c r="BM268" s="144">
        <f t="shared" si="252"/>
        <v>8.2842944686457781E-2</v>
      </c>
      <c r="BN268" s="65">
        <f t="shared" si="253"/>
        <v>779032.67567567562</v>
      </c>
      <c r="BO268" s="66"/>
      <c r="BP268" s="66">
        <f t="shared" si="254"/>
        <v>13963214</v>
      </c>
      <c r="BQ268" s="66"/>
      <c r="BR268" s="435">
        <f t="shared" si="255"/>
        <v>6.9203802163065681E-2</v>
      </c>
      <c r="BS268" s="66"/>
      <c r="BT268" s="75"/>
      <c r="BU268" s="170"/>
      <c r="BV268" s="1"/>
      <c r="BW268" s="61">
        <f t="shared" si="189"/>
        <v>259</v>
      </c>
    </row>
    <row r="269" spans="2:75" x14ac:dyDescent="0.3">
      <c r="B269" s="158">
        <f t="shared" si="163"/>
        <v>44169</v>
      </c>
      <c r="C269" s="61"/>
      <c r="D269" s="17">
        <v>235272</v>
      </c>
      <c r="E269" s="16"/>
      <c r="F269" s="16"/>
      <c r="G269" s="16"/>
      <c r="H269" s="16">
        <f t="shared" si="236"/>
        <v>15105464</v>
      </c>
      <c r="I269" s="16"/>
      <c r="J269" s="436">
        <f t="shared" si="237"/>
        <v>1.5821719047070811E-2</v>
      </c>
      <c r="K269" s="16"/>
      <c r="L269" s="16"/>
      <c r="M269" s="16"/>
      <c r="N269" s="16">
        <f t="shared" si="256"/>
        <v>1282990</v>
      </c>
      <c r="O269" s="16">
        <f t="shared" si="238"/>
        <v>58097.938461538462</v>
      </c>
      <c r="P269" s="41"/>
      <c r="Q269" s="17">
        <f t="shared" ref="Q269:Q300" si="257">SUM(D263:D269)</f>
        <v>1282990</v>
      </c>
      <c r="R269" s="16"/>
      <c r="S269" s="60">
        <f t="shared" ref="S269:S300" si="258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9"/>
        <v>287012</v>
      </c>
      <c r="AB269" s="33"/>
      <c r="AC269" s="46">
        <f t="shared" si="240"/>
        <v>1.9000541790705667E-2</v>
      </c>
      <c r="AD269" s="33"/>
      <c r="AE269" s="33">
        <f t="shared" si="241"/>
        <v>1103.8923076923077</v>
      </c>
      <c r="AF269" s="50"/>
      <c r="AG269" s="33">
        <f t="shared" si="242"/>
        <v>14356</v>
      </c>
      <c r="AH269" s="33">
        <f t="shared" si="219"/>
        <v>1143192342.060914</v>
      </c>
      <c r="AI269" s="213">
        <f t="shared" si="243"/>
        <v>0.36906351325576958</v>
      </c>
      <c r="AJ269" s="50"/>
      <c r="AK269" s="10"/>
      <c r="AL269" s="23">
        <f t="shared" si="244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5"/>
        <v>1.1383032291229021E-2</v>
      </c>
      <c r="AS269" s="25"/>
      <c r="AT269" s="25"/>
      <c r="AU269" s="24"/>
      <c r="AV269" s="298">
        <f t="shared" si="246"/>
        <v>0.57322846885074175</v>
      </c>
      <c r="AW269" s="298"/>
      <c r="AX269" s="24">
        <f t="shared" si="247"/>
        <v>33303.392307692309</v>
      </c>
      <c r="AY269" s="308"/>
      <c r="AZ269" s="10"/>
      <c r="BA269" s="65">
        <f t="shared" si="248"/>
        <v>2114538</v>
      </c>
      <c r="BB269" s="66"/>
      <c r="BC269" s="66">
        <v>203884001</v>
      </c>
      <c r="BD269" s="66"/>
      <c r="BE269" s="66">
        <f t="shared" si="249"/>
        <v>235272</v>
      </c>
      <c r="BF269" s="66"/>
      <c r="BG269" s="144">
        <f t="shared" si="250"/>
        <v>0.11126402079319454</v>
      </c>
      <c r="BH269" s="66"/>
      <c r="BI269" s="170"/>
      <c r="BJ269" s="66"/>
      <c r="BK269" s="66">
        <f t="shared" si="251"/>
        <v>14594996</v>
      </c>
      <c r="BL269" s="66"/>
      <c r="BM269" s="144">
        <f t="shared" si="252"/>
        <v>8.7906156329196669E-2</v>
      </c>
      <c r="BN269" s="65">
        <f t="shared" si="253"/>
        <v>784169.2346153846</v>
      </c>
      <c r="BO269" s="66"/>
      <c r="BP269" s="66">
        <f t="shared" si="254"/>
        <v>14198486</v>
      </c>
      <c r="BQ269" s="66"/>
      <c r="BR269" s="435">
        <f t="shared" si="255"/>
        <v>6.9640020454572113E-2</v>
      </c>
      <c r="BS269" s="66"/>
      <c r="BT269" s="75"/>
      <c r="BU269" s="170"/>
      <c r="BV269" s="1"/>
      <c r="BW269" s="61">
        <f t="shared" si="189"/>
        <v>260</v>
      </c>
    </row>
    <row r="270" spans="2:75" x14ac:dyDescent="0.3">
      <c r="B270" s="158">
        <f t="shared" si="163"/>
        <v>44170</v>
      </c>
      <c r="C270" s="61"/>
      <c r="D270" s="17">
        <v>212483</v>
      </c>
      <c r="E270" s="16"/>
      <c r="F270" s="16"/>
      <c r="G270" s="16"/>
      <c r="H270" s="16">
        <f t="shared" si="236"/>
        <v>15317947</v>
      </c>
      <c r="I270" s="16"/>
      <c r="J270" s="436">
        <f t="shared" si="237"/>
        <v>1.4066631783042216E-2</v>
      </c>
      <c r="K270" s="16"/>
      <c r="L270" s="16"/>
      <c r="M270" s="16"/>
      <c r="N270" s="16">
        <f t="shared" si="256"/>
        <v>1352100</v>
      </c>
      <c r="O270" s="16">
        <f t="shared" si="238"/>
        <v>58689.452107279692</v>
      </c>
      <c r="P270" s="41"/>
      <c r="Q270" s="17">
        <f t="shared" si="257"/>
        <v>1352100</v>
      </c>
      <c r="R270" s="16"/>
      <c r="S270" s="60">
        <f t="shared" si="258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9"/>
        <v>289278</v>
      </c>
      <c r="AB270" s="33"/>
      <c r="AC270" s="46">
        <f t="shared" si="240"/>
        <v>1.8884906704534229E-2</v>
      </c>
      <c r="AD270" s="33"/>
      <c r="AE270" s="33">
        <f t="shared" si="241"/>
        <v>1108.344827586207</v>
      </c>
      <c r="AF270" s="50"/>
      <c r="AG270" s="33">
        <f t="shared" si="242"/>
        <v>15406</v>
      </c>
      <c r="AH270" s="33">
        <f t="shared" si="219"/>
        <v>1143074023.060914</v>
      </c>
      <c r="AI270" s="213">
        <f t="shared" si="243"/>
        <v>0.50419839875024408</v>
      </c>
      <c r="AJ270" s="50"/>
      <c r="AK270" s="10"/>
      <c r="AL270" s="23">
        <f t="shared" si="244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5"/>
        <v>1.5067418634414928E-2</v>
      </c>
      <c r="AS270" s="25"/>
      <c r="AT270" s="25"/>
      <c r="AU270" s="24"/>
      <c r="AV270" s="298">
        <f t="shared" si="246"/>
        <v>0.5737941905661379</v>
      </c>
      <c r="AW270" s="298"/>
      <c r="AX270" s="24">
        <f t="shared" si="247"/>
        <v>33675.666666666664</v>
      </c>
      <c r="AY270" s="308"/>
      <c r="AZ270" s="10"/>
      <c r="BA270" s="65">
        <f t="shared" si="248"/>
        <v>1966240</v>
      </c>
      <c r="BB270" s="66"/>
      <c r="BC270" s="66">
        <v>205850241</v>
      </c>
      <c r="BD270" s="66"/>
      <c r="BE270" s="66">
        <f t="shared" si="249"/>
        <v>212483</v>
      </c>
      <c r="BF270" s="66"/>
      <c r="BG270" s="144">
        <f t="shared" si="250"/>
        <v>0.10806564814061356</v>
      </c>
      <c r="BH270" s="66"/>
      <c r="BI270" s="170"/>
      <c r="BJ270" s="66"/>
      <c r="BK270" s="66">
        <f t="shared" si="251"/>
        <v>14817017</v>
      </c>
      <c r="BL270" s="66"/>
      <c r="BM270" s="144">
        <f t="shared" si="252"/>
        <v>9.1253185442116996E-2</v>
      </c>
      <c r="BN270" s="65">
        <f t="shared" si="253"/>
        <v>788698.24137931038</v>
      </c>
      <c r="BO270" s="66"/>
      <c r="BP270" s="66">
        <f t="shared" si="254"/>
        <v>14410969</v>
      </c>
      <c r="BQ270" s="66"/>
      <c r="BR270" s="435">
        <f t="shared" si="255"/>
        <v>7.0007054303132921E-2</v>
      </c>
      <c r="BS270" s="66"/>
      <c r="BT270" s="75"/>
      <c r="BU270" s="170"/>
      <c r="BV270" s="1"/>
      <c r="BW270" s="61">
        <f t="shared" si="189"/>
        <v>261</v>
      </c>
    </row>
    <row r="271" spans="2:75" x14ac:dyDescent="0.3">
      <c r="B271" s="347">
        <f t="shared" si="163"/>
        <v>44171</v>
      </c>
      <c r="C271" s="61"/>
      <c r="D271" s="17">
        <v>182779</v>
      </c>
      <c r="E271" s="16"/>
      <c r="F271" s="16"/>
      <c r="G271" s="16"/>
      <c r="H271" s="16">
        <f t="shared" si="236"/>
        <v>15500726</v>
      </c>
      <c r="I271" s="16"/>
      <c r="J271" s="436">
        <f t="shared" si="237"/>
        <v>1.1932343152773672E-2</v>
      </c>
      <c r="K271" s="16"/>
      <c r="L271" s="16"/>
      <c r="M271" s="16"/>
      <c r="N271" s="16">
        <f t="shared" si="256"/>
        <v>1396691</v>
      </c>
      <c r="O271" s="16">
        <f t="shared" si="238"/>
        <v>59163.076335877864</v>
      </c>
      <c r="P271" s="41"/>
      <c r="Q271" s="17">
        <f t="shared" si="257"/>
        <v>1396691</v>
      </c>
      <c r="R271" s="16"/>
      <c r="S271" s="60">
        <f t="shared" si="258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9"/>
        <v>290370</v>
      </c>
      <c r="AB271" s="33"/>
      <c r="AC271" s="46">
        <f t="shared" si="240"/>
        <v>1.8732670972959588E-2</v>
      </c>
      <c r="AD271" s="33"/>
      <c r="AE271" s="33">
        <f t="shared" si="241"/>
        <v>1108.2824427480916</v>
      </c>
      <c r="AF271" s="50"/>
      <c r="AG271" s="33">
        <f t="shared" si="242"/>
        <v>15679</v>
      </c>
      <c r="AH271" s="33">
        <f t="shared" si="219"/>
        <v>1142941482.060914</v>
      </c>
      <c r="AI271" s="213">
        <f t="shared" si="243"/>
        <v>0.5379107405590976</v>
      </c>
      <c r="AJ271" s="50"/>
      <c r="AK271" s="10"/>
      <c r="AL271" s="23">
        <f t="shared" si="244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5"/>
        <v>7.708989596385352E-3</v>
      </c>
      <c r="AS271" s="25"/>
      <c r="AT271" s="25"/>
      <c r="AU271" s="24"/>
      <c r="AV271" s="298">
        <f t="shared" si="246"/>
        <v>0.57139942993637849</v>
      </c>
      <c r="AW271" s="298"/>
      <c r="AX271" s="24">
        <f t="shared" si="247"/>
        <v>33805.748091603054</v>
      </c>
      <c r="AY271" s="308"/>
      <c r="AZ271" s="10"/>
      <c r="BA271" s="65">
        <f t="shared" si="248"/>
        <v>1610100</v>
      </c>
      <c r="BB271" s="66"/>
      <c r="BC271" s="66">
        <v>207460341</v>
      </c>
      <c r="BD271" s="66"/>
      <c r="BE271" s="66">
        <f t="shared" si="249"/>
        <v>182779</v>
      </c>
      <c r="BF271" s="66"/>
      <c r="BG271" s="144">
        <f t="shared" si="250"/>
        <v>0.11352027824358736</v>
      </c>
      <c r="BH271" s="66"/>
      <c r="BI271" s="170"/>
      <c r="BJ271" s="66"/>
      <c r="BK271" s="66">
        <f t="shared" si="251"/>
        <v>15188973</v>
      </c>
      <c r="BL271" s="66"/>
      <c r="BM271" s="144">
        <f t="shared" si="252"/>
        <v>9.1954274986202164E-2</v>
      </c>
      <c r="BN271" s="65">
        <f t="shared" si="253"/>
        <v>791833.36259541987</v>
      </c>
      <c r="BO271" s="66"/>
      <c r="BP271" s="66">
        <f t="shared" si="254"/>
        <v>14593748</v>
      </c>
      <c r="BQ271" s="66"/>
      <c r="BR271" s="435">
        <f t="shared" si="255"/>
        <v>7.0344760495693964E-2</v>
      </c>
      <c r="BS271" s="66"/>
      <c r="BT271" s="75"/>
      <c r="BU271" s="170"/>
      <c r="BV271" s="1"/>
      <c r="BW271" s="61">
        <f t="shared" si="189"/>
        <v>262</v>
      </c>
    </row>
    <row r="272" spans="2:75" x14ac:dyDescent="0.3">
      <c r="B272" s="158">
        <f t="shared" si="163"/>
        <v>44172</v>
      </c>
      <c r="C272" s="61"/>
      <c r="D272" s="17">
        <v>200085</v>
      </c>
      <c r="E272" s="16"/>
      <c r="F272" s="16"/>
      <c r="G272" s="16"/>
      <c r="H272" s="16">
        <f t="shared" si="236"/>
        <v>15700811</v>
      </c>
      <c r="I272" s="16"/>
      <c r="J272" s="436">
        <f t="shared" si="237"/>
        <v>1.29081050784331E-2</v>
      </c>
      <c r="K272" s="16"/>
      <c r="L272" s="16"/>
      <c r="M272" s="16"/>
      <c r="N272" s="16">
        <f t="shared" si="256"/>
        <v>1435208</v>
      </c>
      <c r="O272" s="16">
        <f t="shared" si="238"/>
        <v>59698.901140684407</v>
      </c>
      <c r="P272" s="41"/>
      <c r="Q272" s="17">
        <f t="shared" si="257"/>
        <v>1435208</v>
      </c>
      <c r="R272" s="16"/>
      <c r="S272" s="60">
        <f t="shared" si="258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9"/>
        <v>291908</v>
      </c>
      <c r="AB272" s="33"/>
      <c r="AC272" s="46">
        <f t="shared" si="240"/>
        <v>1.8591905857601877E-2</v>
      </c>
      <c r="AD272" s="33"/>
      <c r="AE272" s="33">
        <f t="shared" si="241"/>
        <v>1109.916349809886</v>
      </c>
      <c r="AF272" s="50"/>
      <c r="AG272" s="33">
        <f t="shared" si="242"/>
        <v>15979</v>
      </c>
      <c r="AH272" s="33">
        <f t="shared" si="219"/>
        <v>1142817092.060914</v>
      </c>
      <c r="AI272" s="213">
        <f t="shared" si="243"/>
        <v>0.52748303221489345</v>
      </c>
      <c r="AJ272" s="50"/>
      <c r="AK272" s="10"/>
      <c r="AL272" s="23">
        <f t="shared" si="244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5"/>
        <v>1.4286269126732818E-2</v>
      </c>
      <c r="AS272" s="25"/>
      <c r="AT272" s="25"/>
      <c r="AU272" s="24"/>
      <c r="AV272" s="298">
        <f t="shared" si="246"/>
        <v>0.57217687672311957</v>
      </c>
      <c r="AW272" s="298"/>
      <c r="AX272" s="24">
        <f t="shared" si="247"/>
        <v>34158.330798479088</v>
      </c>
      <c r="AY272" s="308"/>
      <c r="AZ272" s="10"/>
      <c r="BA272" s="65">
        <f t="shared" si="248"/>
        <v>2038932</v>
      </c>
      <c r="BB272" s="66"/>
      <c r="BC272" s="66">
        <v>209499273</v>
      </c>
      <c r="BD272" s="66"/>
      <c r="BE272" s="66">
        <f t="shared" si="249"/>
        <v>200085</v>
      </c>
      <c r="BF272" s="66"/>
      <c r="BG272" s="144">
        <f t="shared" si="250"/>
        <v>9.813225747597272E-2</v>
      </c>
      <c r="BH272" s="66"/>
      <c r="BI272" s="170"/>
      <c r="BJ272" s="66"/>
      <c r="BK272" s="66">
        <f t="shared" si="251"/>
        <v>14590524</v>
      </c>
      <c r="BL272" s="66"/>
      <c r="BM272" s="144">
        <f t="shared" si="252"/>
        <v>9.8365761229685794E-2</v>
      </c>
      <c r="BN272" s="65">
        <f t="shared" si="253"/>
        <v>796575.18250950566</v>
      </c>
      <c r="BO272" s="66"/>
      <c r="BP272" s="66">
        <f t="shared" si="254"/>
        <v>14793833</v>
      </c>
      <c r="BQ272" s="66"/>
      <c r="BR272" s="435">
        <f t="shared" si="255"/>
        <v>7.0615199700478193E-2</v>
      </c>
      <c r="BS272" s="66"/>
      <c r="BT272" s="75"/>
      <c r="BU272" s="170"/>
      <c r="BV272" s="1"/>
      <c r="BW272" s="61">
        <f t="shared" si="189"/>
        <v>263</v>
      </c>
    </row>
    <row r="273" spans="2:75" x14ac:dyDescent="0.3">
      <c r="B273" s="158">
        <f t="shared" si="163"/>
        <v>44173</v>
      </c>
      <c r="C273" s="61"/>
      <c r="D273" s="17">
        <v>209756</v>
      </c>
      <c r="E273" s="16"/>
      <c r="F273" s="16"/>
      <c r="G273" s="16"/>
      <c r="H273" s="16">
        <f t="shared" si="236"/>
        <v>15910567</v>
      </c>
      <c r="I273" s="16"/>
      <c r="J273" s="436">
        <f t="shared" si="237"/>
        <v>1.3359564674716485E-2</v>
      </c>
      <c r="K273" s="16"/>
      <c r="L273" s="16"/>
      <c r="M273" s="16"/>
      <c r="N273" s="16">
        <f t="shared" si="256"/>
        <v>1462688</v>
      </c>
      <c r="O273" s="16">
        <f t="shared" si="238"/>
        <v>60267.29924242424</v>
      </c>
      <c r="P273" s="41"/>
      <c r="Q273" s="17">
        <f t="shared" si="257"/>
        <v>1462688</v>
      </c>
      <c r="R273" s="16"/>
      <c r="S273" s="60">
        <f t="shared" si="258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9"/>
        <v>294868</v>
      </c>
      <c r="AB273" s="33"/>
      <c r="AC273" s="46">
        <f t="shared" si="240"/>
        <v>1.853284047011021E-2</v>
      </c>
      <c r="AD273" s="33"/>
      <c r="AE273" s="33">
        <f t="shared" si="241"/>
        <v>1116.9242424242425</v>
      </c>
      <c r="AF273" s="50"/>
      <c r="AG273" s="33">
        <f t="shared" si="242"/>
        <v>16325</v>
      </c>
      <c r="AH273" s="33">
        <f t="shared" si="219"/>
        <v>1142714366.060914</v>
      </c>
      <c r="AI273" s="213">
        <f t="shared" si="243"/>
        <v>0.5033612671516714</v>
      </c>
      <c r="AJ273" s="50"/>
      <c r="AK273" s="10"/>
      <c r="AL273" s="23">
        <f t="shared" si="244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5"/>
        <v>1.1628581329106985E-2</v>
      </c>
      <c r="AS273" s="25"/>
      <c r="AT273" s="25"/>
      <c r="AU273" s="24"/>
      <c r="AV273" s="298">
        <f t="shared" si="246"/>
        <v>0.57119950533503927</v>
      </c>
      <c r="AW273" s="298"/>
      <c r="AX273" s="24">
        <f t="shared" si="247"/>
        <v>34424.651515151512</v>
      </c>
      <c r="AY273" s="308"/>
      <c r="AZ273" s="10"/>
      <c r="BA273" s="65">
        <f t="shared" si="248"/>
        <v>1699673</v>
      </c>
      <c r="BB273" s="66"/>
      <c r="BC273" s="66">
        <v>211198946</v>
      </c>
      <c r="BD273" s="66"/>
      <c r="BE273" s="66">
        <f t="shared" si="249"/>
        <v>209756</v>
      </c>
      <c r="BF273" s="66"/>
      <c r="BG273" s="144">
        <f t="shared" si="250"/>
        <v>0.12340962055642468</v>
      </c>
      <c r="BH273" s="66"/>
      <c r="BI273" s="170"/>
      <c r="BJ273" s="66"/>
      <c r="BK273" s="66">
        <f t="shared" si="251"/>
        <v>14991898</v>
      </c>
      <c r="BL273" s="66"/>
      <c r="BM273" s="144">
        <f t="shared" si="252"/>
        <v>9.7565231567077096E-2</v>
      </c>
      <c r="BN273" s="65">
        <f t="shared" si="253"/>
        <v>799996.00757575757</v>
      </c>
      <c r="BO273" s="66"/>
      <c r="BP273" s="66">
        <f t="shared" si="254"/>
        <v>15003589</v>
      </c>
      <c r="BQ273" s="66"/>
      <c r="BR273" s="435">
        <f t="shared" si="255"/>
        <v>7.1040075171587266E-2</v>
      </c>
      <c r="BS273" s="66"/>
      <c r="BT273" s="75"/>
      <c r="BU273" s="170"/>
      <c r="BV273" s="1"/>
      <c r="BW273" s="61">
        <f t="shared" si="189"/>
        <v>264</v>
      </c>
    </row>
    <row r="274" spans="2:75" x14ac:dyDescent="0.3">
      <c r="B274" s="158">
        <f t="shared" si="163"/>
        <v>44174</v>
      </c>
      <c r="C274" s="61"/>
      <c r="D274" s="17">
        <v>226953</v>
      </c>
      <c r="E274" s="16"/>
      <c r="F274" s="16"/>
      <c r="G274" s="16"/>
      <c r="H274" s="16">
        <f t="shared" si="236"/>
        <v>16137520</v>
      </c>
      <c r="I274" s="16"/>
      <c r="J274" s="436">
        <f t="shared" si="237"/>
        <v>1.4264293660936157E-2</v>
      </c>
      <c r="K274" s="16"/>
      <c r="L274" s="16"/>
      <c r="M274" s="16"/>
      <c r="N274" s="16">
        <f t="shared" si="256"/>
        <v>1485904</v>
      </c>
      <c r="O274" s="16">
        <f t="shared" si="238"/>
        <v>60896.301886792455</v>
      </c>
      <c r="P274" s="41"/>
      <c r="Q274" s="17">
        <f t="shared" si="257"/>
        <v>1485904</v>
      </c>
      <c r="R274" s="16"/>
      <c r="S274" s="60">
        <f t="shared" si="258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9"/>
        <v>298133</v>
      </c>
      <c r="AB274" s="33"/>
      <c r="AC274" s="46">
        <f t="shared" si="240"/>
        <v>1.8474523966507866E-2</v>
      </c>
      <c r="AD274" s="33"/>
      <c r="AE274" s="33">
        <f t="shared" si="241"/>
        <v>1125.0301886792454</v>
      </c>
      <c r="AF274" s="50"/>
      <c r="AG274" s="33">
        <f t="shared" si="242"/>
        <v>16757</v>
      </c>
      <c r="AH274" s="33">
        <f t="shared" si="219"/>
        <v>1142588677.060914</v>
      </c>
      <c r="AI274" s="213">
        <f t="shared" si="243"/>
        <v>0.47120280948200177</v>
      </c>
      <c r="AJ274" s="50"/>
      <c r="AK274" s="10"/>
      <c r="AL274" s="23">
        <f t="shared" si="244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5"/>
        <v>1.5341477015898138E-2</v>
      </c>
      <c r="AS274" s="25"/>
      <c r="AT274" s="25"/>
      <c r="AU274" s="24"/>
      <c r="AV274" s="298">
        <f t="shared" si="246"/>
        <v>0.57180613873755071</v>
      </c>
      <c r="AW274" s="298"/>
      <c r="AX274" s="24">
        <f t="shared" si="247"/>
        <v>34820.879245283017</v>
      </c>
      <c r="AY274" s="308"/>
      <c r="AZ274" s="10"/>
      <c r="BA274" s="65">
        <f t="shared" si="248"/>
        <v>1915218</v>
      </c>
      <c r="BB274" s="66"/>
      <c r="BC274" s="66">
        <v>213114164</v>
      </c>
      <c r="BD274" s="66"/>
      <c r="BE274" s="66">
        <f t="shared" si="249"/>
        <v>226953</v>
      </c>
      <c r="BF274" s="66"/>
      <c r="BG274" s="144">
        <f t="shared" si="250"/>
        <v>0.11849982612945367</v>
      </c>
      <c r="BH274" s="66"/>
      <c r="BI274" s="170"/>
      <c r="BJ274" s="66"/>
      <c r="BK274" s="66">
        <f t="shared" si="251"/>
        <v>13207651</v>
      </c>
      <c r="BL274" s="66"/>
      <c r="BM274" s="144">
        <f t="shared" si="252"/>
        <v>0.11250327556353511</v>
      </c>
      <c r="BN274" s="65">
        <f t="shared" si="253"/>
        <v>804204.39245283022</v>
      </c>
      <c r="BO274" s="66"/>
      <c r="BP274" s="66">
        <f t="shared" si="254"/>
        <v>15230542</v>
      </c>
      <c r="BQ274" s="66"/>
      <c r="BR274" s="435">
        <f t="shared" si="255"/>
        <v>7.1466587270098109E-2</v>
      </c>
      <c r="BS274" s="66"/>
      <c r="BT274" s="75"/>
      <c r="BU274" s="170"/>
      <c r="BV274" s="1"/>
      <c r="BW274" s="61">
        <f t="shared" si="189"/>
        <v>265</v>
      </c>
    </row>
    <row r="275" spans="2:75" x14ac:dyDescent="0.3">
      <c r="B275" s="158">
        <f t="shared" si="163"/>
        <v>44175</v>
      </c>
      <c r="C275" s="61"/>
      <c r="D275" s="17">
        <v>227314</v>
      </c>
      <c r="E275" s="16"/>
      <c r="F275" s="16"/>
      <c r="G275" s="16"/>
      <c r="H275" s="16">
        <f t="shared" si="236"/>
        <v>16364834</v>
      </c>
      <c r="I275" s="16"/>
      <c r="J275" s="436">
        <f t="shared" si="237"/>
        <v>1.408605535423039E-2</v>
      </c>
      <c r="K275" s="16"/>
      <c r="L275" s="16"/>
      <c r="M275" s="16"/>
      <c r="N275" s="16">
        <f t="shared" si="256"/>
        <v>1494642</v>
      </c>
      <c r="O275" s="16">
        <f t="shared" si="238"/>
        <v>61521.932330827069</v>
      </c>
      <c r="P275" s="41"/>
      <c r="Q275" s="17">
        <f t="shared" si="257"/>
        <v>1494642</v>
      </c>
      <c r="R275" s="16"/>
      <c r="S275" s="60">
        <f t="shared" si="258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9"/>
        <v>301240</v>
      </c>
      <c r="AB275" s="33"/>
      <c r="AC275" s="46">
        <f t="shared" si="240"/>
        <v>1.8407763867326732E-2</v>
      </c>
      <c r="AD275" s="33"/>
      <c r="AE275" s="33">
        <f t="shared" si="241"/>
        <v>1132.4812030075188</v>
      </c>
      <c r="AF275" s="50"/>
      <c r="AG275" s="33">
        <f t="shared" si="242"/>
        <v>16946</v>
      </c>
      <c r="AH275" s="33">
        <f t="shared" si="219"/>
        <v>1142453024.060914</v>
      </c>
      <c r="AI275" s="213">
        <f t="shared" si="243"/>
        <v>0.30333794800799879</v>
      </c>
      <c r="AJ275" s="50"/>
      <c r="AK275" s="10"/>
      <c r="AL275" s="23">
        <f t="shared" si="244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5"/>
        <v>1.144867214238085E-2</v>
      </c>
      <c r="AS275" s="25"/>
      <c r="AT275" s="25"/>
      <c r="AU275" s="24"/>
      <c r="AV275" s="298">
        <f t="shared" si="246"/>
        <v>0.5703190145405691</v>
      </c>
      <c r="AW275" s="298"/>
      <c r="AX275" s="24">
        <f t="shared" si="247"/>
        <v>35087.12781954887</v>
      </c>
      <c r="AY275" s="308"/>
      <c r="AZ275" s="10"/>
      <c r="BA275" s="65">
        <f t="shared" si="248"/>
        <v>2007280</v>
      </c>
      <c r="BB275" s="66"/>
      <c r="BC275" s="66">
        <v>215121444</v>
      </c>
      <c r="BD275" s="66"/>
      <c r="BE275" s="66">
        <f t="shared" si="249"/>
        <v>227314</v>
      </c>
      <c r="BF275" s="66"/>
      <c r="BG275" s="144">
        <f t="shared" si="250"/>
        <v>0.11324478896815592</v>
      </c>
      <c r="BH275" s="66"/>
      <c r="BI275" s="170"/>
      <c r="BJ275" s="66"/>
      <c r="BK275" s="66">
        <f t="shared" si="251"/>
        <v>13351981</v>
      </c>
      <c r="BL275" s="66"/>
      <c r="BM275" s="144">
        <f t="shared" si="252"/>
        <v>0.11194159128896304</v>
      </c>
      <c r="BN275" s="65">
        <f t="shared" si="253"/>
        <v>808727.23308270681</v>
      </c>
      <c r="BO275" s="66"/>
      <c r="BP275" s="66">
        <f t="shared" si="254"/>
        <v>15457856</v>
      </c>
      <c r="BQ275" s="66"/>
      <c r="BR275" s="435">
        <f t="shared" si="255"/>
        <v>7.1856416136738099E-2</v>
      </c>
      <c r="BS275" s="66"/>
      <c r="BT275" s="75"/>
      <c r="BU275" s="170"/>
      <c r="BV275" s="1"/>
      <c r="BW275" s="61">
        <f t="shared" si="189"/>
        <v>266</v>
      </c>
    </row>
    <row r="276" spans="2:75" x14ac:dyDescent="0.3">
      <c r="B276" s="158">
        <f t="shared" si="163"/>
        <v>44176</v>
      </c>
      <c r="C276" s="61"/>
      <c r="D276" s="17">
        <v>246761</v>
      </c>
      <c r="E276" s="16"/>
      <c r="F276" s="16"/>
      <c r="G276" s="16"/>
      <c r="H276" s="16">
        <f t="shared" si="236"/>
        <v>16611595</v>
      </c>
      <c r="I276" s="16"/>
      <c r="J276" s="436">
        <f t="shared" si="237"/>
        <v>1.5078735293006944E-2</v>
      </c>
      <c r="K276" s="16"/>
      <c r="L276" s="16"/>
      <c r="M276" s="16"/>
      <c r="N276" s="16">
        <f t="shared" si="256"/>
        <v>1506131</v>
      </c>
      <c r="O276" s="16">
        <f t="shared" si="238"/>
        <v>62215.711610486891</v>
      </c>
      <c r="P276" s="41"/>
      <c r="Q276" s="17">
        <f t="shared" si="257"/>
        <v>1506131</v>
      </c>
      <c r="R276" s="16"/>
      <c r="S276" s="60">
        <f t="shared" si="258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9"/>
        <v>304271</v>
      </c>
      <c r="AB276" s="33"/>
      <c r="AC276" s="46">
        <f t="shared" si="240"/>
        <v>1.8316784149866403E-2</v>
      </c>
      <c r="AD276" s="33"/>
      <c r="AE276" s="33">
        <f t="shared" si="241"/>
        <v>1139.5917602996255</v>
      </c>
      <c r="AF276" s="50"/>
      <c r="AG276" s="33">
        <f t="shared" si="242"/>
        <v>17259</v>
      </c>
      <c r="AH276" s="33">
        <f t="shared" si="219"/>
        <v>1142310118.060914</v>
      </c>
      <c r="AI276" s="213">
        <f t="shared" si="243"/>
        <v>0.20221510169963777</v>
      </c>
      <c r="AJ276" s="50"/>
      <c r="AK276" s="10"/>
      <c r="AL276" s="23">
        <f t="shared" si="244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5"/>
        <v>1.8675314812449696E-2</v>
      </c>
      <c r="AS276" s="25"/>
      <c r="AT276" s="25"/>
      <c r="AU276" s="24"/>
      <c r="AV276" s="298">
        <f t="shared" si="246"/>
        <v>0.57233974221018513</v>
      </c>
      <c r="AW276" s="298"/>
      <c r="AX276" s="24">
        <f t="shared" si="247"/>
        <v>35608.52434456929</v>
      </c>
      <c r="AY276" s="308"/>
      <c r="AZ276" s="10"/>
      <c r="BA276" s="65">
        <f t="shared" si="248"/>
        <v>2071253</v>
      </c>
      <c r="BB276" s="66"/>
      <c r="BC276" s="66">
        <v>217192697</v>
      </c>
      <c r="BD276" s="66"/>
      <c r="BE276" s="66">
        <f t="shared" si="249"/>
        <v>246761</v>
      </c>
      <c r="BF276" s="66"/>
      <c r="BG276" s="144">
        <f t="shared" si="250"/>
        <v>0.11913609781132484</v>
      </c>
      <c r="BH276" s="66"/>
      <c r="BI276" s="170"/>
      <c r="BJ276" s="66"/>
      <c r="BK276" s="66">
        <f t="shared" si="251"/>
        <v>13308696</v>
      </c>
      <c r="BL276" s="66"/>
      <c r="BM276" s="144">
        <f t="shared" si="252"/>
        <v>0.11316893856467981</v>
      </c>
      <c r="BN276" s="65">
        <f t="shared" si="253"/>
        <v>813455.79400749062</v>
      </c>
      <c r="BO276" s="66"/>
      <c r="BP276" s="66">
        <f t="shared" si="254"/>
        <v>15704617</v>
      </c>
      <c r="BQ276" s="66"/>
      <c r="BR276" s="435">
        <f t="shared" si="255"/>
        <v>7.2307297698872439E-2</v>
      </c>
      <c r="BS276" s="66"/>
      <c r="BT276" s="75"/>
      <c r="BU276" s="170"/>
      <c r="BV276" s="1"/>
      <c r="BW276" s="61">
        <f t="shared" si="189"/>
        <v>267</v>
      </c>
    </row>
    <row r="277" spans="2:75" x14ac:dyDescent="0.3">
      <c r="B277" s="158">
        <f t="shared" si="163"/>
        <v>44177</v>
      </c>
      <c r="C277" s="61"/>
      <c r="D277" s="17">
        <v>220298</v>
      </c>
      <c r="E277" s="16"/>
      <c r="F277" s="16"/>
      <c r="G277" s="16"/>
      <c r="H277" s="16">
        <f t="shared" si="236"/>
        <v>16831893</v>
      </c>
      <c r="I277" s="16"/>
      <c r="J277" s="436">
        <f t="shared" si="237"/>
        <v>1.3261700637416215E-2</v>
      </c>
      <c r="K277" s="16"/>
      <c r="L277" s="16"/>
      <c r="M277" s="16"/>
      <c r="N277" s="16">
        <f t="shared" si="256"/>
        <v>1513946</v>
      </c>
      <c r="O277" s="16">
        <f t="shared" si="238"/>
        <v>62805.570895522389</v>
      </c>
      <c r="P277" s="41"/>
      <c r="Q277" s="17">
        <f t="shared" si="257"/>
        <v>1513946</v>
      </c>
      <c r="R277" s="16"/>
      <c r="S277" s="60">
        <f t="shared" si="258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9"/>
        <v>306578</v>
      </c>
      <c r="AB277" s="33"/>
      <c r="AC277" s="46">
        <f t="shared" si="240"/>
        <v>1.8214112934296815E-2</v>
      </c>
      <c r="AD277" s="33"/>
      <c r="AE277" s="33">
        <f t="shared" si="241"/>
        <v>1143.9477611940299</v>
      </c>
      <c r="AF277" s="50"/>
      <c r="AG277" s="33">
        <f t="shared" si="242"/>
        <v>17300</v>
      </c>
      <c r="AH277" s="33">
        <f t="shared" si="219"/>
        <v>1142148577.060914</v>
      </c>
      <c r="AI277" s="213">
        <f t="shared" si="243"/>
        <v>0.12293911463066338</v>
      </c>
      <c r="AJ277" s="50"/>
      <c r="AK277" s="10"/>
      <c r="AL277" s="23">
        <f t="shared" si="244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5"/>
        <v>1.4393830707540045E-2</v>
      </c>
      <c r="AS277" s="25"/>
      <c r="AT277" s="25"/>
      <c r="AU277" s="24"/>
      <c r="AV277" s="298">
        <f t="shared" si="246"/>
        <v>0.57297922461840745</v>
      </c>
      <c r="AW277" s="298"/>
      <c r="AX277" s="24">
        <f t="shared" si="247"/>
        <v>35986.287313432833</v>
      </c>
      <c r="AY277" s="308"/>
      <c r="AZ277" s="10"/>
      <c r="BA277" s="65">
        <f t="shared" si="248"/>
        <v>2312375</v>
      </c>
      <c r="BB277" s="66"/>
      <c r="BC277" s="66">
        <v>219505072</v>
      </c>
      <c r="BD277" s="66"/>
      <c r="BE277" s="66">
        <f t="shared" si="249"/>
        <v>220298</v>
      </c>
      <c r="BF277" s="66"/>
      <c r="BG277" s="144">
        <f t="shared" si="250"/>
        <v>9.5269149683766693E-2</v>
      </c>
      <c r="BH277" s="66"/>
      <c r="BI277" s="170"/>
      <c r="BJ277" s="66"/>
      <c r="BK277" s="66">
        <f t="shared" si="251"/>
        <v>13654831</v>
      </c>
      <c r="BL277" s="66"/>
      <c r="BM277" s="144">
        <f t="shared" si="252"/>
        <v>0.11087255492213709</v>
      </c>
      <c r="BN277" s="65">
        <f t="shared" si="253"/>
        <v>819048.77611940296</v>
      </c>
      <c r="BO277" s="66"/>
      <c r="BP277" s="66">
        <f t="shared" si="254"/>
        <v>15924915</v>
      </c>
      <c r="BQ277" s="66"/>
      <c r="BR277" s="435">
        <f t="shared" si="255"/>
        <v>7.2549189205067657E-2</v>
      </c>
      <c r="BS277" s="66"/>
      <c r="BT277" s="75"/>
      <c r="BU277" s="170"/>
      <c r="BV277" s="1"/>
      <c r="BW277" s="61">
        <f t="shared" si="189"/>
        <v>268</v>
      </c>
    </row>
    <row r="278" spans="2:75" x14ac:dyDescent="0.3">
      <c r="B278" s="347">
        <f t="shared" si="163"/>
        <v>44178</v>
      </c>
      <c r="C278" s="61"/>
      <c r="D278" s="17">
        <v>187901</v>
      </c>
      <c r="E278" s="16"/>
      <c r="F278" s="16"/>
      <c r="G278" s="16"/>
      <c r="H278" s="16">
        <f t="shared" si="236"/>
        <v>17019794</v>
      </c>
      <c r="I278" s="16"/>
      <c r="J278" s="436">
        <f t="shared" si="237"/>
        <v>1.1163390831916529E-2</v>
      </c>
      <c r="K278" s="16"/>
      <c r="L278" s="16"/>
      <c r="M278" s="16"/>
      <c r="N278" s="16">
        <f t="shared" si="256"/>
        <v>1519068</v>
      </c>
      <c r="O278" s="16">
        <f t="shared" si="238"/>
        <v>63270.60966542751</v>
      </c>
      <c r="P278" s="41"/>
      <c r="Q278" s="17">
        <f t="shared" si="257"/>
        <v>1519068</v>
      </c>
      <c r="R278" s="16"/>
      <c r="S278" s="60">
        <f t="shared" si="258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9"/>
        <v>307957</v>
      </c>
      <c r="AB278" s="33"/>
      <c r="AC278" s="46">
        <f t="shared" si="240"/>
        <v>1.8094049786971569E-2</v>
      </c>
      <c r="AD278" s="33"/>
      <c r="AE278" s="33">
        <f t="shared" si="241"/>
        <v>1144.8215613382899</v>
      </c>
      <c r="AF278" s="50"/>
      <c r="AG278" s="33">
        <f t="shared" si="242"/>
        <v>17587</v>
      </c>
      <c r="AH278" s="33">
        <f t="shared" si="219"/>
        <v>1141965050.060914</v>
      </c>
      <c r="AI278" s="213">
        <f t="shared" si="243"/>
        <v>0.12169143440270426</v>
      </c>
      <c r="AJ278" s="50"/>
      <c r="AK278" s="10"/>
      <c r="AL278" s="23">
        <f t="shared" si="244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5"/>
        <v>8.3068540307382841E-3</v>
      </c>
      <c r="AS278" s="25"/>
      <c r="AT278" s="25"/>
      <c r="AU278" s="24"/>
      <c r="AV278" s="298">
        <f t="shared" si="246"/>
        <v>0.57136055818301912</v>
      </c>
      <c r="AW278" s="298"/>
      <c r="AX278" s="24">
        <f t="shared" si="247"/>
        <v>36150.33085501859</v>
      </c>
      <c r="AY278" s="308"/>
      <c r="AZ278" s="10"/>
      <c r="BA278" s="65">
        <f t="shared" si="248"/>
        <v>1690558</v>
      </c>
      <c r="BB278" s="66"/>
      <c r="BC278" s="66">
        <v>221195630</v>
      </c>
      <c r="BD278" s="66"/>
      <c r="BE278" s="66">
        <f t="shared" si="249"/>
        <v>187901</v>
      </c>
      <c r="BF278" s="66"/>
      <c r="BG278" s="144">
        <f t="shared" si="250"/>
        <v>0.11114732532098869</v>
      </c>
      <c r="BH278" s="66"/>
      <c r="BI278" s="170"/>
      <c r="BJ278" s="66"/>
      <c r="BK278" s="66">
        <f t="shared" si="251"/>
        <v>13735289</v>
      </c>
      <c r="BL278" s="66"/>
      <c r="BM278" s="144">
        <f t="shared" si="252"/>
        <v>0.11059599838052188</v>
      </c>
      <c r="BN278" s="65">
        <f t="shared" si="253"/>
        <v>822288.58736059477</v>
      </c>
      <c r="BO278" s="66"/>
      <c r="BP278" s="66">
        <f t="shared" si="254"/>
        <v>16112816</v>
      </c>
      <c r="BQ278" s="66"/>
      <c r="BR278" s="435">
        <f t="shared" si="255"/>
        <v>7.2844187744577057E-2</v>
      </c>
      <c r="BS278" s="66"/>
      <c r="BT278" s="75"/>
      <c r="BU278" s="170"/>
      <c r="BV278" s="1"/>
      <c r="BW278" s="61">
        <f t="shared" si="189"/>
        <v>269</v>
      </c>
    </row>
    <row r="279" spans="2:75" x14ac:dyDescent="0.3">
      <c r="B279" s="158">
        <f t="shared" si="163"/>
        <v>44179</v>
      </c>
      <c r="C279" s="61"/>
      <c r="D279" s="17">
        <v>199732</v>
      </c>
      <c r="E279" s="16"/>
      <c r="F279" s="16"/>
      <c r="G279" s="16"/>
      <c r="H279" s="16">
        <f t="shared" si="236"/>
        <v>17219526</v>
      </c>
      <c r="I279" s="16"/>
      <c r="J279" s="436">
        <f t="shared" si="237"/>
        <v>1.1735277171979872E-2</v>
      </c>
      <c r="K279" s="16"/>
      <c r="L279" s="16"/>
      <c r="M279" s="16"/>
      <c r="N279" s="16">
        <f t="shared" si="256"/>
        <v>1518715</v>
      </c>
      <c r="O279" s="16">
        <f t="shared" si="238"/>
        <v>63776.022222222222</v>
      </c>
      <c r="P279" s="41"/>
      <c r="Q279" s="17">
        <f t="shared" si="257"/>
        <v>1518715</v>
      </c>
      <c r="R279" s="16"/>
      <c r="S279" s="60">
        <f t="shared" si="258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9"/>
        <v>309579</v>
      </c>
      <c r="AB279" s="33"/>
      <c r="AC279" s="46">
        <f t="shared" si="240"/>
        <v>1.7978369439437532E-2</v>
      </c>
      <c r="AD279" s="33"/>
      <c r="AE279" s="33">
        <f t="shared" si="241"/>
        <v>1146.588888888889</v>
      </c>
      <c r="AF279" s="50"/>
      <c r="AG279" s="33">
        <f t="shared" si="242"/>
        <v>17671</v>
      </c>
      <c r="AH279" s="33">
        <f t="shared" si="219"/>
        <v>1141807797.060914</v>
      </c>
      <c r="AI279" s="213">
        <f t="shared" si="243"/>
        <v>0.10588897928531198</v>
      </c>
      <c r="AJ279" s="50"/>
      <c r="AK279" s="10"/>
      <c r="AL279" s="23">
        <f t="shared" si="244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5"/>
        <v>1.5289828030182513E-2</v>
      </c>
      <c r="AS279" s="25"/>
      <c r="AT279" s="25"/>
      <c r="AU279" s="24"/>
      <c r="AV279" s="298">
        <f t="shared" si="246"/>
        <v>0.5733679312659361</v>
      </c>
      <c r="AW279" s="298"/>
      <c r="AX279" s="24">
        <f t="shared" si="247"/>
        <v>36567.125925925924</v>
      </c>
      <c r="AY279" s="308"/>
      <c r="AZ279" s="10"/>
      <c r="BA279" s="65">
        <f t="shared" si="248"/>
        <v>1989576</v>
      </c>
      <c r="BB279" s="66"/>
      <c r="BC279" s="66">
        <v>223185206</v>
      </c>
      <c r="BD279" s="66"/>
      <c r="BE279" s="66">
        <f t="shared" si="249"/>
        <v>199732</v>
      </c>
      <c r="BF279" s="66"/>
      <c r="BG279" s="144">
        <f t="shared" si="250"/>
        <v>0.10038922865977475</v>
      </c>
      <c r="BH279" s="66"/>
      <c r="BI279" s="170"/>
      <c r="BJ279" s="66"/>
      <c r="BK279" s="66">
        <f t="shared" si="251"/>
        <v>13685933</v>
      </c>
      <c r="BL279" s="66"/>
      <c r="BM279" s="144">
        <f t="shared" si="252"/>
        <v>0.11096905121484958</v>
      </c>
      <c r="BN279" s="65">
        <f t="shared" si="253"/>
        <v>826611.87407407409</v>
      </c>
      <c r="BO279" s="66"/>
      <c r="BP279" s="66">
        <f t="shared" si="254"/>
        <v>16312548</v>
      </c>
      <c r="BQ279" s="66"/>
      <c r="BR279" s="435">
        <f t="shared" si="255"/>
        <v>7.3089736960432763E-2</v>
      </c>
      <c r="BS279" s="66"/>
      <c r="BT279" s="75"/>
      <c r="BU279" s="170"/>
      <c r="BV279" s="1"/>
      <c r="BW279" s="61">
        <f t="shared" si="189"/>
        <v>270</v>
      </c>
    </row>
    <row r="280" spans="2:75" x14ac:dyDescent="0.3">
      <c r="B280" s="158">
        <f t="shared" si="163"/>
        <v>44180</v>
      </c>
      <c r="C280" s="61"/>
      <c r="D280" s="17">
        <v>200035</v>
      </c>
      <c r="E280" s="16"/>
      <c r="F280" s="16"/>
      <c r="G280" s="16"/>
      <c r="H280" s="16">
        <f t="shared" si="236"/>
        <v>17419561</v>
      </c>
      <c r="I280" s="16"/>
      <c r="J280" s="436">
        <f t="shared" si="237"/>
        <v>1.1616754142942146E-2</v>
      </c>
      <c r="K280" s="16"/>
      <c r="L280" s="16"/>
      <c r="M280" s="16"/>
      <c r="N280" s="16">
        <f t="shared" si="256"/>
        <v>1508994</v>
      </c>
      <c r="O280" s="16">
        <f t="shared" si="238"/>
        <v>64278.822878228784</v>
      </c>
      <c r="P280" s="41"/>
      <c r="Q280" s="17">
        <f t="shared" si="257"/>
        <v>1508994</v>
      </c>
      <c r="R280" s="16"/>
      <c r="S280" s="60">
        <f t="shared" si="258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9"/>
        <v>312560</v>
      </c>
      <c r="AB280" s="33"/>
      <c r="AC280" s="46">
        <f t="shared" si="240"/>
        <v>1.794304689997641E-2</v>
      </c>
      <c r="AD280" s="33"/>
      <c r="AE280" s="33">
        <f t="shared" si="241"/>
        <v>1153.3579335793358</v>
      </c>
      <c r="AF280" s="50"/>
      <c r="AG280" s="33">
        <f t="shared" si="242"/>
        <v>17692</v>
      </c>
      <c r="AH280" s="33">
        <f t="shared" si="219"/>
        <v>1141669548.060914</v>
      </c>
      <c r="AI280" s="213">
        <f t="shared" si="243"/>
        <v>8.3736600306278719E-2</v>
      </c>
      <c r="AJ280" s="50"/>
      <c r="AK280" s="10"/>
      <c r="AL280" s="23">
        <f t="shared" si="244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5"/>
        <v>1.3656467800870322E-2</v>
      </c>
      <c r="AS280" s="25"/>
      <c r="AT280" s="25"/>
      <c r="AU280" s="24"/>
      <c r="AV280" s="298">
        <f t="shared" si="246"/>
        <v>0.57452400780938162</v>
      </c>
      <c r="AW280" s="298"/>
      <c r="AX280" s="24">
        <f t="shared" si="247"/>
        <v>36929.72693726937</v>
      </c>
      <c r="AY280" s="308"/>
      <c r="AZ280" s="10"/>
      <c r="BA280" s="65">
        <f t="shared" si="248"/>
        <v>1753436</v>
      </c>
      <c r="BB280" s="66"/>
      <c r="BC280" s="66">
        <v>224938642</v>
      </c>
      <c r="BD280" s="66"/>
      <c r="BE280" s="66">
        <f t="shared" si="249"/>
        <v>200035</v>
      </c>
      <c r="BF280" s="66"/>
      <c r="BG280" s="144">
        <f t="shared" si="250"/>
        <v>0.11408172297135453</v>
      </c>
      <c r="BH280" s="66"/>
      <c r="BI280" s="170"/>
      <c r="BJ280" s="66"/>
      <c r="BK280" s="66">
        <f t="shared" si="251"/>
        <v>13739696</v>
      </c>
      <c r="BL280" s="66"/>
      <c r="BM280" s="144">
        <f t="shared" si="252"/>
        <v>0.1098273207791497</v>
      </c>
      <c r="BN280" s="65">
        <f t="shared" si="253"/>
        <v>830031.88929889305</v>
      </c>
      <c r="BO280" s="66"/>
      <c r="BP280" s="66">
        <f t="shared" si="254"/>
        <v>16512583</v>
      </c>
      <c r="BQ280" s="66"/>
      <c r="BR280" s="435">
        <f t="shared" si="255"/>
        <v>7.3409276650652139E-2</v>
      </c>
      <c r="BS280" s="66"/>
      <c r="BT280" s="75"/>
      <c r="BU280" s="170"/>
      <c r="BV280" s="1"/>
      <c r="BW280" s="61">
        <f t="shared" si="189"/>
        <v>271</v>
      </c>
    </row>
    <row r="281" spans="2:75" x14ac:dyDescent="0.3">
      <c r="B281" s="158">
        <f t="shared" si="163"/>
        <v>44181</v>
      </c>
      <c r="C281" s="61"/>
      <c r="D281" s="17">
        <v>250173</v>
      </c>
      <c r="E281" s="16"/>
      <c r="F281" s="16"/>
      <c r="G281" s="16"/>
      <c r="H281" s="16">
        <f t="shared" si="236"/>
        <v>17669734</v>
      </c>
      <c r="I281" s="16"/>
      <c r="J281" s="436">
        <f t="shared" si="237"/>
        <v>1.4361613360979648E-2</v>
      </c>
      <c r="K281" s="16"/>
      <c r="L281" s="16"/>
      <c r="M281" s="16"/>
      <c r="N281" s="16">
        <f t="shared" si="256"/>
        <v>1532214</v>
      </c>
      <c r="O281" s="16">
        <f t="shared" si="238"/>
        <v>64962.257352941175</v>
      </c>
      <c r="P281" s="41"/>
      <c r="Q281" s="17">
        <f t="shared" si="257"/>
        <v>1532214</v>
      </c>
      <c r="R281" s="16"/>
      <c r="S281" s="60">
        <f t="shared" si="258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9"/>
        <v>316121</v>
      </c>
      <c r="AB281" s="33"/>
      <c r="AC281" s="46">
        <f t="shared" si="240"/>
        <v>1.7890535307435868E-2</v>
      </c>
      <c r="AD281" s="33"/>
      <c r="AE281" s="33">
        <f t="shared" si="241"/>
        <v>1162.2095588235295</v>
      </c>
      <c r="AF281" s="50"/>
      <c r="AG281" s="33">
        <f t="shared" si="242"/>
        <v>17988</v>
      </c>
      <c r="AH281" s="33">
        <f t="shared" si="219"/>
        <v>1141507399.060914</v>
      </c>
      <c r="AI281" s="213">
        <f t="shared" si="243"/>
        <v>7.3461836844303879E-2</v>
      </c>
      <c r="AJ281" s="50"/>
      <c r="AK281" s="10"/>
      <c r="AL281" s="23">
        <f t="shared" si="244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5"/>
        <v>1.627025538481584E-2</v>
      </c>
      <c r="AS281" s="25"/>
      <c r="AT281" s="25"/>
      <c r="AU281" s="24"/>
      <c r="AV281" s="298">
        <f t="shared" si="246"/>
        <v>0.5756050430640326</v>
      </c>
      <c r="AW281" s="298"/>
      <c r="AX281" s="24">
        <f t="shared" si="247"/>
        <v>37392.602941176468</v>
      </c>
      <c r="AY281" s="308"/>
      <c r="AZ281" s="10"/>
      <c r="BA281" s="65">
        <f t="shared" si="248"/>
        <v>1784514</v>
      </c>
      <c r="BB281" s="66"/>
      <c r="BC281" s="66">
        <v>226723156</v>
      </c>
      <c r="BD281" s="66"/>
      <c r="BE281" s="66">
        <f t="shared" si="249"/>
        <v>250173</v>
      </c>
      <c r="BF281" s="66"/>
      <c r="BG281" s="144">
        <f t="shared" si="250"/>
        <v>0.1401911108570737</v>
      </c>
      <c r="BH281" s="66"/>
      <c r="BI281" s="170"/>
      <c r="BJ281" s="66"/>
      <c r="BK281" s="66">
        <f t="shared" si="251"/>
        <v>13608992</v>
      </c>
      <c r="BL281" s="66"/>
      <c r="BM281" s="144">
        <f t="shared" si="252"/>
        <v>0.11258835334755138</v>
      </c>
      <c r="BN281" s="65">
        <f t="shared" si="253"/>
        <v>833541.01470588241</v>
      </c>
      <c r="BO281" s="66"/>
      <c r="BP281" s="66">
        <f t="shared" si="254"/>
        <v>16762756</v>
      </c>
      <c r="BQ281" s="66"/>
      <c r="BR281" s="435">
        <f t="shared" si="255"/>
        <v>7.393490940995899E-2</v>
      </c>
      <c r="BS281" s="66"/>
      <c r="BT281" s="75"/>
      <c r="BU281" s="170"/>
      <c r="BV281" s="1"/>
      <c r="BW281" s="61">
        <f t="shared" si="189"/>
        <v>272</v>
      </c>
    </row>
    <row r="282" spans="2:75" x14ac:dyDescent="0.3">
      <c r="B282" s="158">
        <f t="shared" si="163"/>
        <v>44182</v>
      </c>
      <c r="C282" s="61"/>
      <c r="D282" s="17">
        <v>237872</v>
      </c>
      <c r="E282" s="16"/>
      <c r="F282" s="16"/>
      <c r="G282" s="16"/>
      <c r="H282" s="16">
        <f t="shared" si="236"/>
        <v>17907606</v>
      </c>
      <c r="I282" s="16"/>
      <c r="J282" s="436">
        <f t="shared" si="237"/>
        <v>1.3462115502134893E-2</v>
      </c>
      <c r="K282" s="16"/>
      <c r="L282" s="16"/>
      <c r="M282" s="16"/>
      <c r="N282" s="16">
        <f t="shared" si="256"/>
        <v>1542772</v>
      </c>
      <c r="O282" s="16">
        <f t="shared" si="238"/>
        <v>65595.626373626379</v>
      </c>
      <c r="P282" s="41"/>
      <c r="Q282" s="17">
        <f t="shared" si="257"/>
        <v>1542772</v>
      </c>
      <c r="R282" s="16"/>
      <c r="S282" s="60">
        <f t="shared" si="258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9"/>
        <v>319521</v>
      </c>
      <c r="AB282" s="33"/>
      <c r="AC282" s="46">
        <f t="shared" si="240"/>
        <v>1.784275352048733E-2</v>
      </c>
      <c r="AD282" s="33"/>
      <c r="AE282" s="33">
        <f t="shared" si="241"/>
        <v>1170.4065934065934</v>
      </c>
      <c r="AF282" s="50"/>
      <c r="AG282" s="33">
        <f t="shared" si="242"/>
        <v>18281</v>
      </c>
      <c r="AH282" s="33">
        <f t="shared" si="219"/>
        <v>1141350138.060914</v>
      </c>
      <c r="AI282" s="213">
        <f t="shared" si="243"/>
        <v>7.8779653015460874E-2</v>
      </c>
      <c r="AJ282" s="50"/>
      <c r="AK282" s="10"/>
      <c r="AL282" s="23">
        <f t="shared" si="244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5"/>
        <v>1.187882394166509E-2</v>
      </c>
      <c r="AS282" s="25"/>
      <c r="AT282" s="25"/>
      <c r="AU282" s="24"/>
      <c r="AV282" s="298">
        <f t="shared" si="246"/>
        <v>0.57470579819547063</v>
      </c>
      <c r="AW282" s="298"/>
      <c r="AX282" s="24">
        <f t="shared" si="247"/>
        <v>37698.18681318681</v>
      </c>
      <c r="AY282" s="308"/>
      <c r="AZ282" s="10"/>
      <c r="BA282" s="65">
        <f t="shared" si="248"/>
        <v>1885917</v>
      </c>
      <c r="BB282" s="66"/>
      <c r="BC282" s="66">
        <v>228609073</v>
      </c>
      <c r="BD282" s="66"/>
      <c r="BE282" s="66">
        <f t="shared" si="249"/>
        <v>237872</v>
      </c>
      <c r="BF282" s="66"/>
      <c r="BG282" s="144">
        <f t="shared" si="250"/>
        <v>0.12613068337577954</v>
      </c>
      <c r="BH282" s="66"/>
      <c r="BI282" s="170"/>
      <c r="BJ282" s="66"/>
      <c r="BK282" s="66">
        <f t="shared" si="251"/>
        <v>13487629</v>
      </c>
      <c r="BL282" s="66"/>
      <c r="BM282" s="144">
        <f t="shared" si="252"/>
        <v>0.11438422572269745</v>
      </c>
      <c r="BN282" s="65">
        <f t="shared" si="253"/>
        <v>837395.87179487175</v>
      </c>
      <c r="BO282" s="66"/>
      <c r="BP282" s="66">
        <f t="shared" si="254"/>
        <v>17000628</v>
      </c>
      <c r="BQ282" s="66"/>
      <c r="BR282" s="435">
        <f t="shared" si="255"/>
        <v>7.4365499920469036E-2</v>
      </c>
      <c r="BS282" s="66"/>
      <c r="BT282" s="75"/>
      <c r="BU282" s="170"/>
      <c r="BV282" s="1"/>
      <c r="BW282" s="61">
        <f t="shared" si="189"/>
        <v>273</v>
      </c>
    </row>
    <row r="283" spans="2:75" x14ac:dyDescent="0.3">
      <c r="B283" s="158">
        <f t="shared" si="163"/>
        <v>44183</v>
      </c>
      <c r="C283" s="61"/>
      <c r="D283" s="17">
        <v>254680</v>
      </c>
      <c r="E283" s="16"/>
      <c r="F283" s="16"/>
      <c r="G283" s="16"/>
      <c r="H283" s="16">
        <f t="shared" si="236"/>
        <v>18162286</v>
      </c>
      <c r="I283" s="16"/>
      <c r="J283" s="436">
        <f t="shared" si="237"/>
        <v>1.4221889849486302E-2</v>
      </c>
      <c r="K283" s="16"/>
      <c r="L283" s="16"/>
      <c r="M283" s="16"/>
      <c r="N283" s="16">
        <f t="shared" si="256"/>
        <v>1550691</v>
      </c>
      <c r="O283" s="16">
        <f t="shared" si="238"/>
        <v>66285.715328467151</v>
      </c>
      <c r="P283" s="41"/>
      <c r="Q283" s="17">
        <f t="shared" si="257"/>
        <v>1550691</v>
      </c>
      <c r="R283" s="16"/>
      <c r="S283" s="60">
        <f t="shared" si="258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9"/>
        <v>322315</v>
      </c>
      <c r="AB283" s="33"/>
      <c r="AC283" s="46">
        <f t="shared" si="240"/>
        <v>1.7746389413755514E-2</v>
      </c>
      <c r="AD283" s="33"/>
      <c r="AE283" s="33">
        <f t="shared" si="241"/>
        <v>1176.3321167883212</v>
      </c>
      <c r="AF283" s="50"/>
      <c r="AG283" s="33">
        <f t="shared" si="242"/>
        <v>18044</v>
      </c>
      <c r="AH283" s="33">
        <f t="shared" si="219"/>
        <v>1141176370.060914</v>
      </c>
      <c r="AI283" s="213">
        <f t="shared" si="243"/>
        <v>4.5483515846804566E-2</v>
      </c>
      <c r="AJ283" s="50"/>
      <c r="AK283" s="10"/>
      <c r="AL283" s="23">
        <f t="shared" si="244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5"/>
        <v>9.9771609967541502E-3</v>
      </c>
      <c r="AS283" s="25"/>
      <c r="AT283" s="25"/>
      <c r="AU283" s="24"/>
      <c r="AV283" s="298">
        <f t="shared" si="246"/>
        <v>0.57230053529605251</v>
      </c>
      <c r="AW283" s="298"/>
      <c r="AX283" s="24">
        <f t="shared" si="247"/>
        <v>37935.350364963502</v>
      </c>
      <c r="AY283" s="308"/>
      <c r="AZ283" s="10"/>
      <c r="BA283" s="65">
        <f t="shared" si="248"/>
        <v>2207096</v>
      </c>
      <c r="BB283" s="66"/>
      <c r="BC283" s="66">
        <v>230816169</v>
      </c>
      <c r="BD283" s="66"/>
      <c r="BE283" s="66">
        <f t="shared" si="249"/>
        <v>254680</v>
      </c>
      <c r="BF283" s="66"/>
      <c r="BG283" s="144">
        <f t="shared" si="250"/>
        <v>0.11539144649802274</v>
      </c>
      <c r="BH283" s="66"/>
      <c r="BI283" s="170"/>
      <c r="BJ283" s="66"/>
      <c r="BK283" s="66">
        <f t="shared" si="251"/>
        <v>13623472</v>
      </c>
      <c r="BL283" s="66"/>
      <c r="BM283" s="144">
        <f t="shared" si="252"/>
        <v>0.11382494858872981</v>
      </c>
      <c r="BN283" s="65">
        <f t="shared" si="253"/>
        <v>842394.77737226279</v>
      </c>
      <c r="BO283" s="66"/>
      <c r="BP283" s="66">
        <f t="shared" si="254"/>
        <v>17255308</v>
      </c>
      <c r="BQ283" s="66"/>
      <c r="BR283" s="435">
        <f t="shared" si="255"/>
        <v>7.4757795672451346E-2</v>
      </c>
      <c r="BS283" s="66"/>
      <c r="BT283" s="75"/>
      <c r="BU283" s="170"/>
      <c r="BV283" s="1"/>
      <c r="BW283" s="61">
        <f t="shared" si="189"/>
        <v>274</v>
      </c>
    </row>
    <row r="284" spans="2:75" x14ac:dyDescent="0.3">
      <c r="B284" s="158">
        <f t="shared" si="163"/>
        <v>44184</v>
      </c>
      <c r="C284" s="61"/>
      <c r="D284" s="17">
        <v>189650</v>
      </c>
      <c r="E284" s="16"/>
      <c r="F284" s="16"/>
      <c r="G284" s="16"/>
      <c r="H284" s="16">
        <f t="shared" si="236"/>
        <v>18351936</v>
      </c>
      <c r="I284" s="16"/>
      <c r="J284" s="436">
        <f t="shared" si="237"/>
        <v>1.044196749241808E-2</v>
      </c>
      <c r="K284" s="16"/>
      <c r="L284" s="16"/>
      <c r="M284" s="16"/>
      <c r="N284" s="16">
        <f t="shared" si="256"/>
        <v>1520043</v>
      </c>
      <c r="O284" s="16">
        <f t="shared" si="238"/>
        <v>66734.312727272729</v>
      </c>
      <c r="P284" s="41"/>
      <c r="Q284" s="17">
        <f t="shared" si="257"/>
        <v>1520043</v>
      </c>
      <c r="R284" s="16"/>
      <c r="S284" s="60">
        <f t="shared" si="258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9"/>
        <v>324874</v>
      </c>
      <c r="AB284" s="33"/>
      <c r="AC284" s="46">
        <f t="shared" si="240"/>
        <v>1.7702437497602433E-2</v>
      </c>
      <c r="AD284" s="33"/>
      <c r="AE284" s="33">
        <f t="shared" si="241"/>
        <v>1181.3599999999999</v>
      </c>
      <c r="AF284" s="50"/>
      <c r="AG284" s="33">
        <f t="shared" si="242"/>
        <v>18296</v>
      </c>
      <c r="AH284" s="33">
        <f t="shared" si="219"/>
        <v>1140984184.060914</v>
      </c>
      <c r="AI284" s="213">
        <f t="shared" si="243"/>
        <v>5.7572254335260115E-2</v>
      </c>
      <c r="AJ284" s="50"/>
      <c r="AK284" s="10"/>
      <c r="AL284" s="23">
        <f t="shared" si="244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5"/>
        <v>1.4542509220931577E-2</v>
      </c>
      <c r="AS284" s="25"/>
      <c r="AT284" s="25"/>
      <c r="AU284" s="24"/>
      <c r="AV284" s="298">
        <f t="shared" si="246"/>
        <v>0.57462302614830396</v>
      </c>
      <c r="AW284" s="298"/>
      <c r="AX284" s="24">
        <f t="shared" si="247"/>
        <v>38347.072727272731</v>
      </c>
      <c r="AY284" s="308"/>
      <c r="AZ284" s="10"/>
      <c r="BA284" s="65">
        <f t="shared" si="248"/>
        <v>1780784</v>
      </c>
      <c r="BB284" s="66"/>
      <c r="BC284" s="66">
        <v>232596953</v>
      </c>
      <c r="BD284" s="66"/>
      <c r="BE284" s="66">
        <f t="shared" si="249"/>
        <v>189650</v>
      </c>
      <c r="BF284" s="66"/>
      <c r="BG284" s="144">
        <f t="shared" si="250"/>
        <v>0.10649803681973782</v>
      </c>
      <c r="BH284" s="66"/>
      <c r="BI284" s="170"/>
      <c r="BJ284" s="66"/>
      <c r="BK284" s="66">
        <f t="shared" si="251"/>
        <v>13091881</v>
      </c>
      <c r="BL284" s="66"/>
      <c r="BM284" s="144">
        <f t="shared" si="252"/>
        <v>0.11610577578577135</v>
      </c>
      <c r="BN284" s="65">
        <f t="shared" si="253"/>
        <v>845807.10181818181</v>
      </c>
      <c r="BO284" s="66"/>
      <c r="BP284" s="66">
        <f t="shared" si="254"/>
        <v>17444958</v>
      </c>
      <c r="BQ284" s="66"/>
      <c r="BR284" s="435">
        <f t="shared" si="255"/>
        <v>7.5000801923660626E-2</v>
      </c>
      <c r="BS284" s="66"/>
      <c r="BT284" s="75"/>
      <c r="BU284" s="170"/>
      <c r="BV284" s="1"/>
      <c r="BW284" s="61">
        <f t="shared" si="189"/>
        <v>275</v>
      </c>
    </row>
    <row r="285" spans="2:75" x14ac:dyDescent="0.3">
      <c r="B285" s="347">
        <f t="shared" si="163"/>
        <v>44185</v>
      </c>
      <c r="C285" s="61"/>
      <c r="D285" s="17">
        <v>188280</v>
      </c>
      <c r="E285" s="16"/>
      <c r="F285" s="16"/>
      <c r="G285" s="16"/>
      <c r="H285" s="16">
        <f t="shared" si="236"/>
        <v>18540216</v>
      </c>
      <c r="I285" s="16"/>
      <c r="J285" s="436">
        <f t="shared" si="237"/>
        <v>1.0259408053733404E-2</v>
      </c>
      <c r="K285" s="16"/>
      <c r="L285" s="16"/>
      <c r="M285" s="16"/>
      <c r="N285" s="16">
        <f t="shared" si="256"/>
        <v>1520422</v>
      </c>
      <c r="O285" s="16">
        <f t="shared" si="238"/>
        <v>67174.695652173919</v>
      </c>
      <c r="P285" s="41"/>
      <c r="Q285" s="17">
        <f t="shared" si="257"/>
        <v>1520422</v>
      </c>
      <c r="R285" s="16"/>
      <c r="S285" s="60">
        <f t="shared" si="258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9"/>
        <v>326332</v>
      </c>
      <c r="AB285" s="33"/>
      <c r="AC285" s="46">
        <f t="shared" si="240"/>
        <v>1.7601305184362471E-2</v>
      </c>
      <c r="AD285" s="33"/>
      <c r="AE285" s="33">
        <f t="shared" si="241"/>
        <v>1182.3623188405797</v>
      </c>
      <c r="AF285" s="50"/>
      <c r="AG285" s="33">
        <f t="shared" si="242"/>
        <v>18375</v>
      </c>
      <c r="AH285" s="33">
        <f t="shared" si="219"/>
        <v>1140780005.060914</v>
      </c>
      <c r="AI285" s="213">
        <f t="shared" si="243"/>
        <v>4.4805822482515495E-2</v>
      </c>
      <c r="AJ285" s="50"/>
      <c r="AK285" s="10"/>
      <c r="AL285" s="23">
        <f t="shared" si="244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5"/>
        <v>7.2673083023049286E-3</v>
      </c>
      <c r="AS285" s="25"/>
      <c r="AT285" s="25"/>
      <c r="AU285" s="24"/>
      <c r="AV285" s="298">
        <f t="shared" si="246"/>
        <v>0.57292115690561529</v>
      </c>
      <c r="AW285" s="298"/>
      <c r="AX285" s="24">
        <f t="shared" si="247"/>
        <v>38485.804347826088</v>
      </c>
      <c r="AY285" s="308"/>
      <c r="AZ285" s="10"/>
      <c r="BA285" s="65">
        <f t="shared" si="248"/>
        <v>1620242</v>
      </c>
      <c r="BB285" s="66"/>
      <c r="BC285" s="66">
        <v>234217195</v>
      </c>
      <c r="BD285" s="66"/>
      <c r="BE285" s="66">
        <f t="shared" si="249"/>
        <v>188280</v>
      </c>
      <c r="BF285" s="66"/>
      <c r="BG285" s="144">
        <f t="shared" si="250"/>
        <v>0.11620486322413566</v>
      </c>
      <c r="BH285" s="66"/>
      <c r="BI285" s="170"/>
      <c r="BJ285" s="66"/>
      <c r="BK285" s="66">
        <f t="shared" si="251"/>
        <v>13021565</v>
      </c>
      <c r="BL285" s="66"/>
      <c r="BM285" s="144">
        <f t="shared" si="252"/>
        <v>0.11676184851820806</v>
      </c>
      <c r="BN285" s="65">
        <f t="shared" si="253"/>
        <v>848613.02536231885</v>
      </c>
      <c r="BO285" s="66"/>
      <c r="BP285" s="66">
        <f t="shared" si="254"/>
        <v>17633238</v>
      </c>
      <c r="BQ285" s="66"/>
      <c r="BR285" s="435">
        <f t="shared" si="255"/>
        <v>7.5285838855682644E-2</v>
      </c>
      <c r="BS285" s="66"/>
      <c r="BT285" s="75"/>
      <c r="BU285" s="170"/>
      <c r="BV285" s="1"/>
      <c r="BW285" s="61">
        <f t="shared" si="189"/>
        <v>276</v>
      </c>
    </row>
    <row r="286" spans="2:75" x14ac:dyDescent="0.3">
      <c r="B286" s="158">
        <f t="shared" si="163"/>
        <v>44186</v>
      </c>
      <c r="C286" s="61"/>
      <c r="D286" s="17">
        <v>200109</v>
      </c>
      <c r="E286" s="16"/>
      <c r="F286" s="16"/>
      <c r="G286" s="16"/>
      <c r="H286" s="16">
        <f t="shared" si="236"/>
        <v>18740325</v>
      </c>
      <c r="I286" s="16"/>
      <c r="J286" s="436">
        <f t="shared" si="237"/>
        <v>1.0793239949308035E-2</v>
      </c>
      <c r="K286" s="16"/>
      <c r="L286" s="16"/>
      <c r="M286" s="16"/>
      <c r="N286" s="16">
        <f t="shared" si="256"/>
        <v>1520799</v>
      </c>
      <c r="O286" s="16">
        <f t="shared" si="238"/>
        <v>67654.602888086636</v>
      </c>
      <c r="P286" s="41"/>
      <c r="Q286" s="17">
        <f t="shared" si="257"/>
        <v>1520799</v>
      </c>
      <c r="R286" s="16"/>
      <c r="S286" s="60">
        <f t="shared" si="258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9"/>
        <v>328173</v>
      </c>
      <c r="AB286" s="33"/>
      <c r="AC286" s="46">
        <f t="shared" si="240"/>
        <v>1.75115959835275E-2</v>
      </c>
      <c r="AD286" s="33"/>
      <c r="AE286" s="33">
        <f t="shared" si="241"/>
        <v>1184.7400722021662</v>
      </c>
      <c r="AF286" s="50"/>
      <c r="AG286" s="33">
        <f t="shared" si="242"/>
        <v>18594</v>
      </c>
      <c r="AH286" s="33">
        <f t="shared" si="219"/>
        <v>1140607166.060914</v>
      </c>
      <c r="AI286" s="213">
        <f t="shared" si="243"/>
        <v>5.2232471280629279E-2</v>
      </c>
      <c r="AJ286" s="50"/>
      <c r="AK286" s="10"/>
      <c r="AL286" s="23">
        <f t="shared" si="244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5"/>
        <v>1.6984805803607995E-2</v>
      </c>
      <c r="AS286" s="25"/>
      <c r="AT286" s="25"/>
      <c r="AU286" s="24"/>
      <c r="AV286" s="298">
        <f t="shared" si="246"/>
        <v>0.5764305581680147</v>
      </c>
      <c r="AW286" s="298"/>
      <c r="AX286" s="24">
        <f t="shared" si="247"/>
        <v>38998.180505415163</v>
      </c>
      <c r="AY286" s="308"/>
      <c r="AZ286" s="10"/>
      <c r="BA286" s="65">
        <f t="shared" si="248"/>
        <v>2403372</v>
      </c>
      <c r="BB286" s="66"/>
      <c r="BC286" s="66">
        <v>236620567</v>
      </c>
      <c r="BD286" s="66"/>
      <c r="BE286" s="66">
        <f t="shared" si="249"/>
        <v>200109</v>
      </c>
      <c r="BF286" s="66"/>
      <c r="BG286" s="144">
        <f t="shared" si="250"/>
        <v>8.3261767217060037E-2</v>
      </c>
      <c r="BH286" s="66"/>
      <c r="BI286" s="170"/>
      <c r="BJ286" s="66"/>
      <c r="BK286" s="66">
        <f t="shared" si="251"/>
        <v>13435361</v>
      </c>
      <c r="BL286" s="66"/>
      <c r="BM286" s="144">
        <f t="shared" si="252"/>
        <v>0.11319375787520708</v>
      </c>
      <c r="BN286" s="65">
        <f t="shared" si="253"/>
        <v>854225.87364620937</v>
      </c>
      <c r="BO286" s="66"/>
      <c r="BP286" s="66">
        <f t="shared" si="254"/>
        <v>17833347</v>
      </c>
      <c r="BQ286" s="66"/>
      <c r="BR286" s="435">
        <f t="shared" si="255"/>
        <v>7.536685092974188E-2</v>
      </c>
      <c r="BS286" s="66"/>
      <c r="BT286" s="75"/>
      <c r="BU286" s="170"/>
      <c r="BV286" s="1"/>
      <c r="BW286" s="61">
        <f t="shared" si="189"/>
        <v>277</v>
      </c>
    </row>
    <row r="287" spans="2:75" x14ac:dyDescent="0.3">
      <c r="B287" s="158">
        <f t="shared" si="163"/>
        <v>44187</v>
      </c>
      <c r="C287" s="61"/>
      <c r="D287" s="17">
        <v>199080</v>
      </c>
      <c r="E287" s="16"/>
      <c r="F287" s="16"/>
      <c r="G287" s="16"/>
      <c r="H287" s="16">
        <f t="shared" si="236"/>
        <v>18939405</v>
      </c>
      <c r="I287" s="16"/>
      <c r="J287" s="436">
        <f t="shared" si="237"/>
        <v>1.0623081510059191E-2</v>
      </c>
      <c r="K287" s="16"/>
      <c r="L287" s="16"/>
      <c r="M287" s="16"/>
      <c r="N287" s="16">
        <f t="shared" si="256"/>
        <v>1519844</v>
      </c>
      <c r="O287" s="16">
        <f t="shared" si="238"/>
        <v>68127.356115107919</v>
      </c>
      <c r="P287" s="41"/>
      <c r="Q287" s="17">
        <f t="shared" si="257"/>
        <v>1519844</v>
      </c>
      <c r="R287" s="16"/>
      <c r="S287" s="60">
        <f t="shared" si="258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9"/>
        <v>331549</v>
      </c>
      <c r="AB287" s="33"/>
      <c r="AC287" s="46">
        <f t="shared" si="240"/>
        <v>1.7505776976626246E-2</v>
      </c>
      <c r="AD287" s="33"/>
      <c r="AE287" s="33">
        <f t="shared" si="241"/>
        <v>1192.6223021582734</v>
      </c>
      <c r="AF287" s="50"/>
      <c r="AG287" s="33">
        <f t="shared" si="242"/>
        <v>18989</v>
      </c>
      <c r="AH287" s="33">
        <f t="shared" si="219"/>
        <v>1140470539.060914</v>
      </c>
      <c r="AI287" s="213">
        <f t="shared" si="243"/>
        <v>7.3309970608184491E-2</v>
      </c>
      <c r="AJ287" s="50"/>
      <c r="AK287" s="10"/>
      <c r="AL287" s="23">
        <f t="shared" si="244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5"/>
        <v>1.3200745457346154E-2</v>
      </c>
      <c r="AS287" s="25"/>
      <c r="AT287" s="25"/>
      <c r="AU287" s="24"/>
      <c r="AV287" s="298">
        <f t="shared" si="246"/>
        <v>0.57790078410594203</v>
      </c>
      <c r="AW287" s="298"/>
      <c r="AX287" s="24">
        <f t="shared" si="247"/>
        <v>39370.852517985615</v>
      </c>
      <c r="AY287" s="308"/>
      <c r="AZ287" s="10"/>
      <c r="BA287" s="65">
        <f t="shared" si="248"/>
        <v>1768330</v>
      </c>
      <c r="BB287" s="66"/>
      <c r="BC287" s="66">
        <v>238388897</v>
      </c>
      <c r="BD287" s="66"/>
      <c r="BE287" s="66">
        <f t="shared" si="249"/>
        <v>199080</v>
      </c>
      <c r="BF287" s="66"/>
      <c r="BG287" s="144">
        <f t="shared" si="250"/>
        <v>0.11258079657077581</v>
      </c>
      <c r="BH287" s="66"/>
      <c r="BI287" s="170"/>
      <c r="BJ287" s="66"/>
      <c r="BK287" s="66">
        <f t="shared" si="251"/>
        <v>13450255</v>
      </c>
      <c r="BL287" s="66"/>
      <c r="BM287" s="144">
        <f t="shared" si="252"/>
        <v>0.11299741157323782</v>
      </c>
      <c r="BN287" s="65">
        <f t="shared" si="253"/>
        <v>857514.01798561146</v>
      </c>
      <c r="BO287" s="66"/>
      <c r="BP287" s="66">
        <f t="shared" si="254"/>
        <v>18032427</v>
      </c>
      <c r="BQ287" s="66"/>
      <c r="BR287" s="435">
        <f t="shared" si="255"/>
        <v>7.5642897915669291E-2</v>
      </c>
      <c r="BS287" s="66"/>
      <c r="BT287" s="75"/>
      <c r="BU287" s="170"/>
      <c r="BV287" s="1"/>
      <c r="BW287" s="61">
        <f t="shared" si="189"/>
        <v>278</v>
      </c>
    </row>
    <row r="288" spans="2:75" x14ac:dyDescent="0.3">
      <c r="B288" s="158">
        <f t="shared" si="163"/>
        <v>44188</v>
      </c>
      <c r="C288" s="61"/>
      <c r="D288" s="17">
        <v>232342</v>
      </c>
      <c r="E288" s="16"/>
      <c r="F288" s="16"/>
      <c r="G288" s="16"/>
      <c r="H288" s="16">
        <f t="shared" si="236"/>
        <v>19171747</v>
      </c>
      <c r="I288" s="16"/>
      <c r="J288" s="436">
        <f t="shared" si="237"/>
        <v>1.2267650435692145E-2</v>
      </c>
      <c r="K288" s="16"/>
      <c r="L288" s="16"/>
      <c r="M288" s="16"/>
      <c r="N288" s="16">
        <f t="shared" si="256"/>
        <v>1502013</v>
      </c>
      <c r="O288" s="16">
        <f t="shared" si="238"/>
        <v>68715.939068100357</v>
      </c>
      <c r="P288" s="41"/>
      <c r="Q288" s="17">
        <f t="shared" si="257"/>
        <v>1502013</v>
      </c>
      <c r="R288" s="16"/>
      <c r="S288" s="60">
        <f t="shared" si="258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9"/>
        <v>334950</v>
      </c>
      <c r="AB288" s="33"/>
      <c r="AC288" s="46">
        <f t="shared" si="240"/>
        <v>1.747102128981777E-2</v>
      </c>
      <c r="AD288" s="33"/>
      <c r="AE288" s="33">
        <f t="shared" si="241"/>
        <v>1200.5376344086021</v>
      </c>
      <c r="AF288" s="50"/>
      <c r="AG288" s="33">
        <f t="shared" si="242"/>
        <v>18829</v>
      </c>
      <c r="AH288" s="33">
        <f t="shared" si="219"/>
        <v>1140298239.060914</v>
      </c>
      <c r="AI288" s="213">
        <f t="shared" si="243"/>
        <v>4.6753391149655328E-2</v>
      </c>
      <c r="AJ288" s="50"/>
      <c r="AK288" s="10"/>
      <c r="AL288" s="23">
        <f t="shared" si="244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5"/>
        <v>1.4323217053261382E-2</v>
      </c>
      <c r="AS288" s="25"/>
      <c r="AT288" s="25"/>
      <c r="AU288" s="24"/>
      <c r="AV288" s="298">
        <f t="shared" si="246"/>
        <v>0.57907430136648474</v>
      </c>
      <c r="AW288" s="298"/>
      <c r="AX288" s="24">
        <f t="shared" si="247"/>
        <v>39791.634408602149</v>
      </c>
      <c r="AY288" s="308"/>
      <c r="AZ288" s="10"/>
      <c r="BA288" s="65">
        <f t="shared" si="248"/>
        <v>1746852</v>
      </c>
      <c r="BB288" s="66"/>
      <c r="BC288" s="66">
        <v>240135749</v>
      </c>
      <c r="BD288" s="66"/>
      <c r="BE288" s="66">
        <f t="shared" si="249"/>
        <v>232342</v>
      </c>
      <c r="BF288" s="66"/>
      <c r="BG288" s="144">
        <f t="shared" si="250"/>
        <v>0.13300611614492813</v>
      </c>
      <c r="BH288" s="66"/>
      <c r="BI288" s="170"/>
      <c r="BJ288" s="66"/>
      <c r="BK288" s="66">
        <f t="shared" si="251"/>
        <v>13412593</v>
      </c>
      <c r="BL288" s="66"/>
      <c r="BM288" s="144">
        <f t="shared" si="252"/>
        <v>0.11198528129497407</v>
      </c>
      <c r="BN288" s="65">
        <f t="shared" si="253"/>
        <v>860701.60931899643</v>
      </c>
      <c r="BO288" s="66"/>
      <c r="BP288" s="66">
        <f t="shared" si="254"/>
        <v>18264769</v>
      </c>
      <c r="BQ288" s="66"/>
      <c r="BR288" s="435">
        <f t="shared" si="255"/>
        <v>7.6060182942607177E-2</v>
      </c>
      <c r="BS288" s="66"/>
      <c r="BT288" s="75"/>
      <c r="BU288" s="170"/>
      <c r="BV288" s="1"/>
      <c r="BW288" s="61">
        <f t="shared" si="189"/>
        <v>279</v>
      </c>
    </row>
    <row r="289" spans="2:75" x14ac:dyDescent="0.3">
      <c r="B289" s="158">
        <f t="shared" si="163"/>
        <v>44189</v>
      </c>
      <c r="C289" s="61"/>
      <c r="D289" s="17">
        <v>193030</v>
      </c>
      <c r="E289" s="16"/>
      <c r="F289" s="16"/>
      <c r="G289" s="16"/>
      <c r="H289" s="16">
        <f t="shared" si="236"/>
        <v>19364777</v>
      </c>
      <c r="I289" s="16"/>
      <c r="J289" s="436">
        <f t="shared" si="237"/>
        <v>1.0068461679574637E-2</v>
      </c>
      <c r="K289" s="16"/>
      <c r="L289" s="16"/>
      <c r="M289" s="16"/>
      <c r="N289" s="16">
        <f t="shared" si="256"/>
        <v>1457171</v>
      </c>
      <c r="O289" s="16">
        <f t="shared" si="238"/>
        <v>69159.917857142864</v>
      </c>
      <c r="P289" s="41"/>
      <c r="Q289" s="17">
        <f t="shared" si="257"/>
        <v>1457171</v>
      </c>
      <c r="R289" s="16"/>
      <c r="S289" s="60">
        <f t="shared" si="258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9"/>
        <v>337785</v>
      </c>
      <c r="AB289" s="33"/>
      <c r="AC289" s="46">
        <f t="shared" si="240"/>
        <v>1.7443268259686132E-2</v>
      </c>
      <c r="AD289" s="33"/>
      <c r="AE289" s="33">
        <f t="shared" si="241"/>
        <v>1206.375</v>
      </c>
      <c r="AF289" s="50"/>
      <c r="AG289" s="33">
        <f t="shared" si="242"/>
        <v>18264</v>
      </c>
      <c r="AH289" s="33">
        <f t="shared" si="219"/>
        <v>1140121157.060914</v>
      </c>
      <c r="AI289" s="213">
        <f t="shared" si="243"/>
        <v>-9.2992724686833327E-4</v>
      </c>
      <c r="AJ289" s="50"/>
      <c r="AK289" s="10"/>
      <c r="AL289" s="23">
        <f t="shared" si="244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5"/>
        <v>1.056191814961557E-2</v>
      </c>
      <c r="AS289" s="25"/>
      <c r="AT289" s="25"/>
      <c r="AU289" s="24"/>
      <c r="AV289" s="298">
        <f t="shared" si="246"/>
        <v>0.57935720096337795</v>
      </c>
      <c r="AW289" s="298"/>
      <c r="AX289" s="24">
        <f t="shared" si="247"/>
        <v>40068.296428571426</v>
      </c>
      <c r="AY289" s="308"/>
      <c r="AZ289" s="10"/>
      <c r="BA289" s="65">
        <f t="shared" si="248"/>
        <v>1932743</v>
      </c>
      <c r="BB289" s="66"/>
      <c r="BC289" s="66">
        <v>242068492</v>
      </c>
      <c r="BD289" s="66"/>
      <c r="BE289" s="66">
        <f t="shared" si="249"/>
        <v>193030</v>
      </c>
      <c r="BF289" s="66"/>
      <c r="BG289" s="144">
        <f t="shared" si="250"/>
        <v>9.9873599335245297E-2</v>
      </c>
      <c r="BH289" s="66"/>
      <c r="BI289" s="170"/>
      <c r="BJ289" s="66"/>
      <c r="BK289" s="66">
        <f t="shared" si="251"/>
        <v>13459419</v>
      </c>
      <c r="BL289" s="66"/>
      <c r="BM289" s="144">
        <f t="shared" si="252"/>
        <v>0.10826403427963718</v>
      </c>
      <c r="BN289" s="65">
        <f t="shared" si="253"/>
        <v>864530.32857142854</v>
      </c>
      <c r="BO289" s="66"/>
      <c r="BP289" s="66">
        <f t="shared" si="254"/>
        <v>18457799</v>
      </c>
      <c r="BQ289" s="66"/>
      <c r="BR289" s="435">
        <f t="shared" si="255"/>
        <v>7.6250315964293283E-2</v>
      </c>
      <c r="BS289" s="66"/>
      <c r="BT289" s="75"/>
      <c r="BU289" s="170"/>
      <c r="BV289" s="1"/>
      <c r="BW289" s="61">
        <f t="shared" si="189"/>
        <v>280</v>
      </c>
    </row>
    <row r="290" spans="2:75" x14ac:dyDescent="0.3">
      <c r="B290" s="158">
        <f t="shared" si="163"/>
        <v>44190</v>
      </c>
      <c r="C290" s="61"/>
      <c r="D290" s="17">
        <v>98840</v>
      </c>
      <c r="E290" s="16"/>
      <c r="F290" s="16"/>
      <c r="G290" s="16"/>
      <c r="H290" s="16">
        <f t="shared" si="236"/>
        <v>19463617</v>
      </c>
      <c r="I290" s="16"/>
      <c r="J290" s="436">
        <f t="shared" si="237"/>
        <v>5.1041124821628462E-3</v>
      </c>
      <c r="K290" s="16"/>
      <c r="L290" s="16"/>
      <c r="M290" s="16"/>
      <c r="N290" s="16">
        <f t="shared" si="256"/>
        <v>1301331</v>
      </c>
      <c r="O290" s="16">
        <f t="shared" si="238"/>
        <v>69265.540925266905</v>
      </c>
      <c r="P290" s="41"/>
      <c r="Q290" s="17">
        <f t="shared" si="257"/>
        <v>1301331</v>
      </c>
      <c r="R290" s="16"/>
      <c r="S290" s="60">
        <f t="shared" si="258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9"/>
        <v>338982</v>
      </c>
      <c r="AB290" s="33"/>
      <c r="AC290" s="46">
        <f t="shared" si="240"/>
        <v>1.7416187340718838E-2</v>
      </c>
      <c r="AD290" s="33"/>
      <c r="AE290" s="33">
        <f t="shared" si="241"/>
        <v>1206.3416370106761</v>
      </c>
      <c r="AF290" s="50"/>
      <c r="AG290" s="33">
        <f t="shared" si="242"/>
        <v>16667</v>
      </c>
      <c r="AH290" s="33">
        <f t="shared" si="219"/>
        <v>1139940254.060914</v>
      </c>
      <c r="AI290" s="213">
        <f t="shared" si="243"/>
        <v>-7.6313455996453117E-2</v>
      </c>
      <c r="AJ290" s="50"/>
      <c r="AK290" s="10"/>
      <c r="AL290" s="23">
        <f t="shared" si="244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5"/>
        <v>3.4394845301187978E-3</v>
      </c>
      <c r="AS290" s="25"/>
      <c r="AT290" s="25"/>
      <c r="AU290" s="24"/>
      <c r="AV290" s="298">
        <f t="shared" si="246"/>
        <v>0.57839768425365135</v>
      </c>
      <c r="AW290" s="298"/>
      <c r="AX290" s="24">
        <f t="shared" si="247"/>
        <v>40063.028469750891</v>
      </c>
      <c r="AY290" s="308"/>
      <c r="AZ290" s="10"/>
      <c r="BA290" s="65">
        <f t="shared" si="248"/>
        <v>1097555</v>
      </c>
      <c r="BB290" s="66"/>
      <c r="BC290" s="66">
        <v>243166047</v>
      </c>
      <c r="BD290" s="66"/>
      <c r="BE290" s="66">
        <f t="shared" si="249"/>
        <v>98840</v>
      </c>
      <c r="BF290" s="66"/>
      <c r="BG290" s="144">
        <f t="shared" si="250"/>
        <v>9.0054712520101499E-2</v>
      </c>
      <c r="BH290" s="66"/>
      <c r="BI290" s="170"/>
      <c r="BJ290" s="66"/>
      <c r="BK290" s="66">
        <f t="shared" si="251"/>
        <v>12349878</v>
      </c>
      <c r="BL290" s="66"/>
      <c r="BM290" s="144">
        <f t="shared" si="252"/>
        <v>0.10537197209559479</v>
      </c>
      <c r="BN290" s="65">
        <f t="shared" si="253"/>
        <v>865359.5978647687</v>
      </c>
      <c r="BO290" s="66"/>
      <c r="BP290" s="66">
        <f t="shared" si="254"/>
        <v>18556639</v>
      </c>
      <c r="BQ290" s="66"/>
      <c r="BR290" s="435">
        <f t="shared" si="255"/>
        <v>7.631262353004406E-2</v>
      </c>
      <c r="BS290" s="66"/>
      <c r="BT290" s="75"/>
      <c r="BU290" s="170"/>
      <c r="BV290" s="1"/>
      <c r="BW290" s="61">
        <f t="shared" si="189"/>
        <v>281</v>
      </c>
    </row>
    <row r="291" spans="2:75" x14ac:dyDescent="0.3">
      <c r="B291" s="158">
        <f t="shared" si="163"/>
        <v>44191</v>
      </c>
      <c r="C291" s="61"/>
      <c r="D291" s="17">
        <v>160604</v>
      </c>
      <c r="E291" s="16"/>
      <c r="F291" s="16"/>
      <c r="G291" s="16"/>
      <c r="H291" s="16">
        <f t="shared" si="236"/>
        <v>19624221</v>
      </c>
      <c r="I291" s="16"/>
      <c r="J291" s="436">
        <f t="shared" si="237"/>
        <v>8.2514981670673039E-3</v>
      </c>
      <c r="K291" s="16"/>
      <c r="L291" s="16"/>
      <c r="M291" s="16"/>
      <c r="N291" s="16">
        <f t="shared" si="256"/>
        <v>1272285</v>
      </c>
      <c r="O291" s="16">
        <f t="shared" si="238"/>
        <v>69589.436170212764</v>
      </c>
      <c r="P291" s="41"/>
      <c r="Q291" s="17">
        <f t="shared" si="257"/>
        <v>1272285</v>
      </c>
      <c r="R291" s="16"/>
      <c r="S291" s="60">
        <f t="shared" si="258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9"/>
        <v>340390</v>
      </c>
      <c r="AB291" s="33"/>
      <c r="AC291" s="46">
        <f t="shared" si="240"/>
        <v>1.7345401888818925E-2</v>
      </c>
      <c r="AD291" s="33"/>
      <c r="AE291" s="33">
        <f t="shared" si="241"/>
        <v>1207.0567375886526</v>
      </c>
      <c r="AF291" s="50"/>
      <c r="AG291" s="33">
        <f t="shared" si="242"/>
        <v>15516</v>
      </c>
      <c r="AH291" s="33">
        <f t="shared" si="219"/>
        <v>1139832191.060914</v>
      </c>
      <c r="AI291" s="213">
        <f t="shared" si="243"/>
        <v>-0.1519457804984696</v>
      </c>
      <c r="AJ291" s="50"/>
      <c r="AK291" s="10"/>
      <c r="AL291" s="23">
        <f t="shared" si="244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5"/>
        <v>1.3572030761848479E-2</v>
      </c>
      <c r="AS291" s="25"/>
      <c r="AT291" s="25"/>
      <c r="AU291" s="24"/>
      <c r="AV291" s="298">
        <f t="shared" si="246"/>
        <v>0.58144988277496468</v>
      </c>
      <c r="AW291" s="298"/>
      <c r="AX291" s="24">
        <f t="shared" si="247"/>
        <v>40462.7695035461</v>
      </c>
      <c r="AY291" s="308"/>
      <c r="AZ291" s="10"/>
      <c r="BA291" s="65">
        <f t="shared" si="248"/>
        <v>2275459</v>
      </c>
      <c r="BB291" s="66"/>
      <c r="BC291" s="66">
        <v>245441506</v>
      </c>
      <c r="BD291" s="66"/>
      <c r="BE291" s="66">
        <f t="shared" si="249"/>
        <v>160604</v>
      </c>
      <c r="BF291" s="66"/>
      <c r="BG291" s="144">
        <f t="shared" si="250"/>
        <v>7.0580924551925564E-2</v>
      </c>
      <c r="BH291" s="66"/>
      <c r="BI291" s="170"/>
      <c r="BJ291" s="66"/>
      <c r="BK291" s="66">
        <f t="shared" si="251"/>
        <v>12844553</v>
      </c>
      <c r="BL291" s="66"/>
      <c r="BM291" s="144">
        <f t="shared" si="252"/>
        <v>9.9052493302024605E-2</v>
      </c>
      <c r="BN291" s="65">
        <f t="shared" si="253"/>
        <v>870359.95035460987</v>
      </c>
      <c r="BO291" s="66"/>
      <c r="BP291" s="66">
        <f t="shared" si="254"/>
        <v>18717243</v>
      </c>
      <c r="BQ291" s="66"/>
      <c r="BR291" s="435">
        <f t="shared" si="255"/>
        <v>7.6259485630763693E-2</v>
      </c>
      <c r="BS291" s="66"/>
      <c r="BT291" s="75"/>
      <c r="BU291" s="170"/>
      <c r="BV291" s="1"/>
      <c r="BW291" s="61">
        <f t="shared" si="189"/>
        <v>282</v>
      </c>
    </row>
    <row r="292" spans="2:75" x14ac:dyDescent="0.3">
      <c r="B292" s="347">
        <f t="shared" si="163"/>
        <v>44192</v>
      </c>
      <c r="C292" s="61"/>
      <c r="D292" s="17">
        <v>127740</v>
      </c>
      <c r="E292" s="16"/>
      <c r="F292" s="16"/>
      <c r="G292" s="16"/>
      <c r="H292" s="16">
        <f t="shared" si="236"/>
        <v>19751961</v>
      </c>
      <c r="I292" s="16"/>
      <c r="J292" s="436">
        <f t="shared" si="237"/>
        <v>6.5093029680006152E-3</v>
      </c>
      <c r="K292" s="16"/>
      <c r="L292" s="16"/>
      <c r="M292" s="16"/>
      <c r="N292" s="16">
        <f t="shared" si="256"/>
        <v>1211745</v>
      </c>
      <c r="O292" s="16">
        <f t="shared" si="238"/>
        <v>69794.915194346293</v>
      </c>
      <c r="P292" s="41"/>
      <c r="Q292" s="17">
        <f t="shared" si="257"/>
        <v>1211745</v>
      </c>
      <c r="R292" s="16"/>
      <c r="S292" s="60">
        <f t="shared" si="258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9"/>
        <v>341605</v>
      </c>
      <c r="AB292" s="33"/>
      <c r="AC292" s="46">
        <f t="shared" si="240"/>
        <v>1.7294738481915796E-2</v>
      </c>
      <c r="AD292" s="33"/>
      <c r="AE292" s="33">
        <f t="shared" si="241"/>
        <v>1207.0848056537102</v>
      </c>
      <c r="AF292" s="50"/>
      <c r="AG292" s="33">
        <f t="shared" si="242"/>
        <v>15273</v>
      </c>
      <c r="AH292" s="33">
        <f t="shared" si="219"/>
        <v>1139668179.060914</v>
      </c>
      <c r="AI292" s="213">
        <f t="shared" si="243"/>
        <v>-0.16881632653061224</v>
      </c>
      <c r="AJ292" s="50"/>
      <c r="AK292" s="10"/>
      <c r="AL292" s="23">
        <f t="shared" si="244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5"/>
        <v>7.4820553453349686E-3</v>
      </c>
      <c r="AS292" s="25"/>
      <c r="AT292" s="25"/>
      <c r="AU292" s="24"/>
      <c r="AV292" s="298">
        <f t="shared" si="246"/>
        <v>0.58201183163534997</v>
      </c>
      <c r="AW292" s="298"/>
      <c r="AX292" s="24">
        <f t="shared" si="247"/>
        <v>40621.466431095403</v>
      </c>
      <c r="AY292" s="308"/>
      <c r="AZ292" s="10"/>
      <c r="BA292" s="65">
        <f t="shared" si="248"/>
        <v>1268467</v>
      </c>
      <c r="BB292" s="66"/>
      <c r="BC292" s="66">
        <v>246709973</v>
      </c>
      <c r="BD292" s="66"/>
      <c r="BE292" s="66">
        <f t="shared" si="249"/>
        <v>127740</v>
      </c>
      <c r="BF292" s="66"/>
      <c r="BG292" s="144">
        <f t="shared" si="250"/>
        <v>0.10070423590050037</v>
      </c>
      <c r="BH292" s="66"/>
      <c r="BI292" s="170"/>
      <c r="BJ292" s="66"/>
      <c r="BK292" s="66">
        <f t="shared" si="251"/>
        <v>12492778</v>
      </c>
      <c r="BL292" s="66"/>
      <c r="BM292" s="144">
        <f t="shared" si="252"/>
        <v>9.6995640201082575E-2</v>
      </c>
      <c r="BN292" s="65">
        <f t="shared" si="253"/>
        <v>871766.68904593645</v>
      </c>
      <c r="BO292" s="66"/>
      <c r="BP292" s="66">
        <f t="shared" si="254"/>
        <v>18844983</v>
      </c>
      <c r="BQ292" s="66"/>
      <c r="BR292" s="435">
        <f t="shared" si="255"/>
        <v>7.6385169074620257E-2</v>
      </c>
      <c r="BS292" s="66"/>
      <c r="BT292" s="75"/>
      <c r="BU292" s="170"/>
      <c r="BV292" s="1"/>
      <c r="BW292" s="61">
        <f t="shared" si="189"/>
        <v>283</v>
      </c>
    </row>
    <row r="293" spans="2:75" x14ac:dyDescent="0.3">
      <c r="B293" s="158">
        <f t="shared" si="163"/>
        <v>44193</v>
      </c>
      <c r="C293" s="61"/>
      <c r="D293" s="17">
        <v>186391</v>
      </c>
      <c r="E293" s="16"/>
      <c r="F293" s="16"/>
      <c r="G293" s="16"/>
      <c r="H293" s="16">
        <f t="shared" si="236"/>
        <v>19938352</v>
      </c>
      <c r="I293" s="16"/>
      <c r="J293" s="436">
        <f t="shared" si="237"/>
        <v>9.4365820183626332E-3</v>
      </c>
      <c r="K293" s="16"/>
      <c r="L293" s="16"/>
      <c r="M293" s="16"/>
      <c r="N293" s="16">
        <f t="shared" si="256"/>
        <v>1198027</v>
      </c>
      <c r="O293" s="16">
        <f t="shared" si="238"/>
        <v>70205.464788732395</v>
      </c>
      <c r="P293" s="41"/>
      <c r="Q293" s="17">
        <f t="shared" si="257"/>
        <v>1198027</v>
      </c>
      <c r="R293" s="16"/>
      <c r="S293" s="60">
        <f t="shared" si="258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9"/>
        <v>343571</v>
      </c>
      <c r="AB293" s="33"/>
      <c r="AC293" s="46">
        <f t="shared" si="240"/>
        <v>1.7231664883837941E-2</v>
      </c>
      <c r="AD293" s="33"/>
      <c r="AE293" s="33">
        <f t="shared" si="241"/>
        <v>1209.7570422535211</v>
      </c>
      <c r="AF293" s="50"/>
      <c r="AG293" s="33">
        <f t="shared" si="242"/>
        <v>15398</v>
      </c>
      <c r="AH293" s="33">
        <f t="shared" si="219"/>
        <v>1139524806.060914</v>
      </c>
      <c r="AI293" s="213">
        <f t="shared" si="243"/>
        <v>-0.17188340324835968</v>
      </c>
      <c r="AJ293" s="50"/>
      <c r="AK293" s="10"/>
      <c r="AL293" s="23">
        <f t="shared" si="244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5"/>
        <v>1.7479661182815576E-2</v>
      </c>
      <c r="AS293" s="25"/>
      <c r="AT293" s="25"/>
      <c r="AU293" s="24"/>
      <c r="AV293" s="298">
        <f t="shared" si="246"/>
        <v>0.58664923761000909</v>
      </c>
      <c r="AW293" s="298"/>
      <c r="AX293" s="24">
        <f t="shared" si="247"/>
        <v>41185.982394366198</v>
      </c>
      <c r="AY293" s="308"/>
      <c r="AZ293" s="10"/>
      <c r="BA293" s="65">
        <f t="shared" si="248"/>
        <v>2405486</v>
      </c>
      <c r="BB293" s="66"/>
      <c r="BC293" s="66">
        <v>249115459</v>
      </c>
      <c r="BD293" s="66"/>
      <c r="BE293" s="66">
        <f t="shared" si="249"/>
        <v>186391</v>
      </c>
      <c r="BF293" s="66"/>
      <c r="BG293" s="144">
        <f t="shared" si="250"/>
        <v>7.7485797048912355E-2</v>
      </c>
      <c r="BH293" s="66"/>
      <c r="BI293" s="170"/>
      <c r="BJ293" s="66"/>
      <c r="BK293" s="66">
        <f t="shared" si="251"/>
        <v>12494892</v>
      </c>
      <c r="BL293" s="66"/>
      <c r="BM293" s="144">
        <f t="shared" si="252"/>
        <v>9.588134095116628E-2</v>
      </c>
      <c r="BN293" s="65">
        <f t="shared" si="253"/>
        <v>877167.10915492952</v>
      </c>
      <c r="BO293" s="66"/>
      <c r="BP293" s="66">
        <f t="shared" si="254"/>
        <v>19031374</v>
      </c>
      <c r="BQ293" s="66"/>
      <c r="BR293" s="435">
        <f t="shared" si="255"/>
        <v>7.6395796858194975E-2</v>
      </c>
      <c r="BS293" s="66"/>
      <c r="BT293" s="75"/>
      <c r="BU293" s="170"/>
      <c r="BV293" s="1"/>
      <c r="BW293" s="61">
        <f t="shared" si="189"/>
        <v>284</v>
      </c>
    </row>
    <row r="294" spans="2:75" x14ac:dyDescent="0.3">
      <c r="B294" s="158">
        <f t="shared" si="163"/>
        <v>44194</v>
      </c>
      <c r="C294" s="61"/>
      <c r="D294" s="17">
        <v>199622</v>
      </c>
      <c r="E294" s="16"/>
      <c r="F294" s="16"/>
      <c r="G294" s="16"/>
      <c r="H294" s="16">
        <f t="shared" ref="H294:H325" si="259">+H293+D294</f>
        <v>20137974</v>
      </c>
      <c r="I294" s="16"/>
      <c r="J294" s="436">
        <f t="shared" ref="J294:J325" si="260">+D294/H293</f>
        <v>1.0011960868180078E-2</v>
      </c>
      <c r="K294" s="16"/>
      <c r="L294" s="16"/>
      <c r="M294" s="16"/>
      <c r="N294" s="16">
        <f t="shared" si="256"/>
        <v>1198569</v>
      </c>
      <c r="O294" s="16">
        <f t="shared" ref="O294:O325" si="261">+H294/BW294</f>
        <v>70659.557894736849</v>
      </c>
      <c r="P294" s="41"/>
      <c r="Q294" s="17">
        <f t="shared" si="257"/>
        <v>1198569</v>
      </c>
      <c r="R294" s="16"/>
      <c r="S294" s="60">
        <f t="shared" si="258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62">+AA293+W294</f>
        <v>347287</v>
      </c>
      <c r="AB294" s="33"/>
      <c r="AC294" s="46">
        <f t="shared" ref="AC294:AC325" si="263">+AA294/H294</f>
        <v>1.7245379301810599E-2</v>
      </c>
      <c r="AD294" s="33"/>
      <c r="AE294" s="33">
        <f t="shared" ref="AE294:AE325" si="264">+AA294/BW294</f>
        <v>1218.5508771929824</v>
      </c>
      <c r="AF294" s="50"/>
      <c r="AG294" s="33">
        <f t="shared" ref="AG294:AG325" si="265">SUM(W288:W294)</f>
        <v>15738</v>
      </c>
      <c r="AH294" s="33">
        <f t="shared" ref="AH294:AH357" si="266">SUM(D265:D713)</f>
        <v>1139386618.060914</v>
      </c>
      <c r="AI294" s="213">
        <f t="shared" ref="AI294:AI325" si="267">+(AG294-AG287)/AG287</f>
        <v>-0.17120438148401707</v>
      </c>
      <c r="AJ294" s="50"/>
      <c r="AK294" s="10"/>
      <c r="AL294" s="23">
        <f t="shared" ref="AL294:AL325" si="268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9">+AL294/AP293</f>
        <v>1.2623346569695573E-2</v>
      </c>
      <c r="AS294" s="25"/>
      <c r="AT294" s="25"/>
      <c r="AU294" s="24"/>
      <c r="AV294" s="298">
        <f t="shared" ref="AV294:AV325" si="270">+AP294/H294</f>
        <v>0.58816601908414423</v>
      </c>
      <c r="AW294" s="298"/>
      <c r="AX294" s="24">
        <f t="shared" ref="AX294:AX325" si="271">+AP294/BW294</f>
        <v>41559.550877192982</v>
      </c>
      <c r="AY294" s="308"/>
      <c r="AZ294" s="10"/>
      <c r="BA294" s="65">
        <f t="shared" ref="BA294:BA325" si="272">+BC294-BC293</f>
        <v>1056787</v>
      </c>
      <c r="BB294" s="66"/>
      <c r="BC294" s="66">
        <v>250172246</v>
      </c>
      <c r="BD294" s="66"/>
      <c r="BE294" s="66">
        <f t="shared" ref="BE294:BE325" si="273">+D294</f>
        <v>199622</v>
      </c>
      <c r="BF294" s="66"/>
      <c r="BG294" s="144">
        <f t="shared" ref="BG294:BG325" si="274">+BE294/BA294</f>
        <v>0.18889520783279884</v>
      </c>
      <c r="BH294" s="66"/>
      <c r="BI294" s="170"/>
      <c r="BJ294" s="66"/>
      <c r="BK294" s="66">
        <f t="shared" ref="BK294:BK325" si="275">SUM(BA288:BA294)</f>
        <v>11783349</v>
      </c>
      <c r="BL294" s="66"/>
      <c r="BM294" s="144">
        <f t="shared" ref="BM294:BM325" si="276">+Q294/BK294</f>
        <v>0.101717177349156</v>
      </c>
      <c r="BN294" s="65">
        <f t="shared" ref="BN294:BN325" si="277">+BC294/BW294</f>
        <v>877797.35438596492</v>
      </c>
      <c r="BO294" s="66"/>
      <c r="BP294" s="66">
        <f t="shared" ref="BP294:BP325" si="278">+BP293+BE294</f>
        <v>19230996</v>
      </c>
      <c r="BQ294" s="66"/>
      <c r="BR294" s="435">
        <f t="shared" si="255"/>
        <v>7.6871021096400913E-2</v>
      </c>
      <c r="BS294" s="66"/>
      <c r="BT294" s="75"/>
      <c r="BU294" s="170"/>
      <c r="BV294" s="1"/>
      <c r="BW294" s="61">
        <f t="shared" si="189"/>
        <v>285</v>
      </c>
    </row>
    <row r="295" spans="2:75" x14ac:dyDescent="0.3">
      <c r="B295" s="158">
        <f t="shared" si="163"/>
        <v>44195</v>
      </c>
      <c r="C295" s="61"/>
      <c r="D295" s="17">
        <v>234775</v>
      </c>
      <c r="E295" s="16"/>
      <c r="F295" s="16"/>
      <c r="G295" s="16"/>
      <c r="H295" s="16">
        <f t="shared" si="259"/>
        <v>20372749</v>
      </c>
      <c r="I295" s="16"/>
      <c r="J295" s="436">
        <f t="shared" si="260"/>
        <v>1.165832272898952E-2</v>
      </c>
      <c r="K295" s="16"/>
      <c r="L295" s="16"/>
      <c r="M295" s="16"/>
      <c r="N295" s="16">
        <f t="shared" si="256"/>
        <v>1201002</v>
      </c>
      <c r="O295" s="16">
        <f t="shared" si="261"/>
        <v>71233.388111888111</v>
      </c>
      <c r="P295" s="41"/>
      <c r="Q295" s="17">
        <f t="shared" si="257"/>
        <v>1201002</v>
      </c>
      <c r="R295" s="16"/>
      <c r="S295" s="60">
        <f t="shared" si="258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62"/>
        <v>351167</v>
      </c>
      <c r="AB295" s="33"/>
      <c r="AC295" s="46">
        <f t="shared" si="263"/>
        <v>1.7237094512871091E-2</v>
      </c>
      <c r="AD295" s="33"/>
      <c r="AE295" s="33">
        <f t="shared" si="264"/>
        <v>1227.8566433566434</v>
      </c>
      <c r="AF295" s="50"/>
      <c r="AG295" s="33">
        <f t="shared" si="265"/>
        <v>16217</v>
      </c>
      <c r="AH295" s="33">
        <f t="shared" si="266"/>
        <v>1139225050.060914</v>
      </c>
      <c r="AI295" s="213">
        <f t="shared" si="267"/>
        <v>-0.13872218386531415</v>
      </c>
      <c r="AJ295" s="50"/>
      <c r="AK295" s="10"/>
      <c r="AL295" s="23">
        <f t="shared" si="268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9"/>
        <v>1.303215542237763E-2</v>
      </c>
      <c r="AS295" s="25"/>
      <c r="AT295" s="25"/>
      <c r="AU295" s="24"/>
      <c r="AV295" s="298">
        <f t="shared" si="270"/>
        <v>0.58896474893987061</v>
      </c>
      <c r="AW295" s="298"/>
      <c r="AX295" s="24">
        <f t="shared" si="271"/>
        <v>41953.954545454544</v>
      </c>
      <c r="AY295" s="308"/>
      <c r="AZ295" s="10"/>
      <c r="BA295" s="65">
        <f t="shared" si="272"/>
        <v>1594963</v>
      </c>
      <c r="BB295" s="66"/>
      <c r="BC295" s="66">
        <v>251767209</v>
      </c>
      <c r="BD295" s="66"/>
      <c r="BE295" s="66">
        <f t="shared" si="273"/>
        <v>234775</v>
      </c>
      <c r="BF295" s="66"/>
      <c r="BG295" s="144">
        <f t="shared" si="274"/>
        <v>0.14719777198593323</v>
      </c>
      <c r="BH295" s="66"/>
      <c r="BI295" s="170"/>
      <c r="BJ295" s="66"/>
      <c r="BK295" s="66">
        <f t="shared" si="275"/>
        <v>11631460</v>
      </c>
      <c r="BL295" s="66"/>
      <c r="BM295" s="144">
        <f t="shared" si="276"/>
        <v>0.103254621517849</v>
      </c>
      <c r="BN295" s="65">
        <f t="shared" si="277"/>
        <v>880304.92657342658</v>
      </c>
      <c r="BO295" s="66"/>
      <c r="BP295" s="66">
        <f t="shared" si="278"/>
        <v>19465771</v>
      </c>
      <c r="BQ295" s="66"/>
      <c r="BR295" s="435">
        <f t="shared" si="255"/>
        <v>7.7316546016125559E-2</v>
      </c>
      <c r="BS295" s="66"/>
      <c r="BT295" s="75"/>
      <c r="BU295" s="170"/>
      <c r="BV295" s="1"/>
      <c r="BW295" s="61">
        <f t="shared" si="189"/>
        <v>286</v>
      </c>
    </row>
    <row r="296" spans="2:75" x14ac:dyDescent="0.3">
      <c r="B296" s="158">
        <f t="shared" si="163"/>
        <v>44196</v>
      </c>
      <c r="C296" s="61"/>
      <c r="D296" s="17">
        <v>228413</v>
      </c>
      <c r="E296" s="16"/>
      <c r="F296" s="16"/>
      <c r="G296" s="16"/>
      <c r="H296" s="16">
        <f t="shared" si="259"/>
        <v>20601162</v>
      </c>
      <c r="I296" s="16"/>
      <c r="J296" s="436">
        <f t="shared" si="260"/>
        <v>1.1211692639024808E-2</v>
      </c>
      <c r="K296" s="16"/>
      <c r="L296" s="16"/>
      <c r="M296" s="16"/>
      <c r="N296" s="16">
        <f t="shared" si="256"/>
        <v>1236385</v>
      </c>
      <c r="O296" s="16">
        <f t="shared" si="261"/>
        <v>71781.052264808357</v>
      </c>
      <c r="P296" s="41"/>
      <c r="Q296" s="17">
        <f t="shared" si="257"/>
        <v>1236385</v>
      </c>
      <c r="R296" s="16"/>
      <c r="S296" s="60">
        <f t="shared" si="258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62"/>
        <v>354605</v>
      </c>
      <c r="AB296" s="33"/>
      <c r="AC296" s="46">
        <f t="shared" si="263"/>
        <v>1.7212864012233871E-2</v>
      </c>
      <c r="AD296" s="33"/>
      <c r="AE296" s="33">
        <f t="shared" si="264"/>
        <v>1235.5574912891987</v>
      </c>
      <c r="AF296" s="50"/>
      <c r="AG296" s="33">
        <f t="shared" si="265"/>
        <v>16820</v>
      </c>
      <c r="AH296" s="33">
        <f t="shared" si="266"/>
        <v>1139042774.060914</v>
      </c>
      <c r="AI296" s="213">
        <f t="shared" si="267"/>
        <v>-7.9062636881296541E-2</v>
      </c>
      <c r="AJ296" s="50"/>
      <c r="AK296" s="10"/>
      <c r="AL296" s="23">
        <f t="shared" si="268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9"/>
        <v>1.0582280890530087E-2</v>
      </c>
      <c r="AS296" s="25"/>
      <c r="AT296" s="25"/>
      <c r="AU296" s="24"/>
      <c r="AV296" s="298">
        <f t="shared" si="270"/>
        <v>0.58859815771556967</v>
      </c>
      <c r="AW296" s="298"/>
      <c r="AX296" s="24">
        <f t="shared" si="271"/>
        <v>42250.195121951219</v>
      </c>
      <c r="AY296" s="308"/>
      <c r="AZ296" s="10"/>
      <c r="BA296" s="65">
        <f t="shared" si="272"/>
        <v>1775431</v>
      </c>
      <c r="BB296" s="66"/>
      <c r="BC296" s="66">
        <v>253542640</v>
      </c>
      <c r="BD296" s="66"/>
      <c r="BE296" s="66">
        <f t="shared" si="273"/>
        <v>228413</v>
      </c>
      <c r="BF296" s="66"/>
      <c r="BG296" s="144">
        <f t="shared" si="274"/>
        <v>0.12865214136736375</v>
      </c>
      <c r="BH296" s="66"/>
      <c r="BI296" s="170"/>
      <c r="BJ296" s="66"/>
      <c r="BK296" s="66">
        <f t="shared" si="275"/>
        <v>11474148</v>
      </c>
      <c r="BL296" s="66"/>
      <c r="BM296" s="144">
        <f t="shared" si="276"/>
        <v>0.10775397005511869</v>
      </c>
      <c r="BN296" s="65">
        <f t="shared" si="277"/>
        <v>883423.83275261323</v>
      </c>
      <c r="BO296" s="66"/>
      <c r="BP296" s="66">
        <f t="shared" si="278"/>
        <v>19694184</v>
      </c>
      <c r="BQ296" s="66"/>
      <c r="BR296" s="435">
        <f t="shared" si="255"/>
        <v>7.7676023251946891E-2</v>
      </c>
      <c r="BS296" s="66"/>
      <c r="BT296" s="75"/>
      <c r="BU296" s="170"/>
      <c r="BV296" s="1"/>
      <c r="BW296" s="61">
        <f t="shared" si="189"/>
        <v>287</v>
      </c>
    </row>
    <row r="297" spans="2:75" x14ac:dyDescent="0.3">
      <c r="B297" s="158">
        <f t="shared" si="163"/>
        <v>44197</v>
      </c>
      <c r="C297" s="61"/>
      <c r="D297" s="17">
        <v>166044</v>
      </c>
      <c r="E297" s="16"/>
      <c r="F297" s="16"/>
      <c r="G297" s="16"/>
      <c r="H297" s="16">
        <f t="shared" si="259"/>
        <v>20767206</v>
      </c>
      <c r="I297" s="16"/>
      <c r="J297" s="436">
        <f t="shared" si="260"/>
        <v>8.0599337066520806E-3</v>
      </c>
      <c r="K297" s="16"/>
      <c r="L297" s="16"/>
      <c r="M297" s="16"/>
      <c r="N297" s="16">
        <f t="shared" si="256"/>
        <v>1303589</v>
      </c>
      <c r="O297" s="16">
        <f t="shared" si="261"/>
        <v>72108.354166666672</v>
      </c>
      <c r="P297" s="41"/>
      <c r="Q297" s="17">
        <f t="shared" si="257"/>
        <v>1303589</v>
      </c>
      <c r="R297" s="16"/>
      <c r="S297" s="60">
        <f t="shared" si="258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62"/>
        <v>356734</v>
      </c>
      <c r="AB297" s="33"/>
      <c r="AC297" s="46">
        <f t="shared" si="263"/>
        <v>1.7177756121839406E-2</v>
      </c>
      <c r="AD297" s="33"/>
      <c r="AE297" s="33">
        <f t="shared" si="264"/>
        <v>1238.6597222222222</v>
      </c>
      <c r="AF297" s="50"/>
      <c r="AG297" s="33">
        <f t="shared" si="265"/>
        <v>17752</v>
      </c>
      <c r="AH297" s="33">
        <f t="shared" si="266"/>
        <v>1138839037.060914</v>
      </c>
      <c r="AI297" s="213">
        <f t="shared" si="267"/>
        <v>6.5098698026039473E-2</v>
      </c>
      <c r="AJ297" s="50"/>
      <c r="AK297" s="10"/>
      <c r="AL297" s="23">
        <f t="shared" si="268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9"/>
        <v>4.1263236439705534E-3</v>
      </c>
      <c r="AS297" s="25"/>
      <c r="AT297" s="25"/>
      <c r="AU297" s="24"/>
      <c r="AV297" s="298">
        <f t="shared" si="270"/>
        <v>0.58630135416386775</v>
      </c>
      <c r="AW297" s="298"/>
      <c r="AX297" s="24">
        <f t="shared" si="271"/>
        <v>42277.225694444445</v>
      </c>
      <c r="AY297" s="308"/>
      <c r="AZ297" s="10"/>
      <c r="BA297" s="65">
        <f t="shared" si="272"/>
        <v>1140083</v>
      </c>
      <c r="BB297" s="66"/>
      <c r="BC297" s="66">
        <v>254682723</v>
      </c>
      <c r="BD297" s="66"/>
      <c r="BE297" s="66">
        <f t="shared" si="273"/>
        <v>166044</v>
      </c>
      <c r="BF297" s="66"/>
      <c r="BG297" s="144">
        <f t="shared" si="274"/>
        <v>0.14564202781727295</v>
      </c>
      <c r="BH297" s="66"/>
      <c r="BI297" s="170"/>
      <c r="BJ297" s="66"/>
      <c r="BK297" s="66">
        <f t="shared" si="275"/>
        <v>11516676</v>
      </c>
      <c r="BL297" s="66"/>
      <c r="BM297" s="144">
        <f t="shared" si="276"/>
        <v>0.11319142780434216</v>
      </c>
      <c r="BN297" s="65">
        <f t="shared" si="277"/>
        <v>884315.01041666663</v>
      </c>
      <c r="BO297" s="66"/>
      <c r="BP297" s="66">
        <f t="shared" si="278"/>
        <v>19860228</v>
      </c>
      <c r="BQ297" s="66"/>
      <c r="BR297" s="435">
        <f t="shared" si="255"/>
        <v>7.7980271948011173E-2</v>
      </c>
      <c r="BS297" s="66"/>
      <c r="BT297" s="75"/>
      <c r="BU297" s="170"/>
      <c r="BV297" s="1"/>
      <c r="BW297" s="61">
        <f t="shared" si="189"/>
        <v>288</v>
      </c>
    </row>
    <row r="298" spans="2:75" x14ac:dyDescent="0.3">
      <c r="B298" s="158">
        <f t="shared" si="163"/>
        <v>44198</v>
      </c>
      <c r="C298" s="61"/>
      <c r="D298" s="17">
        <v>232227</v>
      </c>
      <c r="E298" s="16"/>
      <c r="F298" s="16"/>
      <c r="G298" s="16"/>
      <c r="H298" s="16">
        <f t="shared" si="259"/>
        <v>20999433</v>
      </c>
      <c r="I298" s="16"/>
      <c r="J298" s="436">
        <f t="shared" si="260"/>
        <v>1.1182390158791702E-2</v>
      </c>
      <c r="K298" s="16"/>
      <c r="L298" s="16"/>
      <c r="M298" s="16"/>
      <c r="N298" s="16">
        <f t="shared" si="256"/>
        <v>1375212</v>
      </c>
      <c r="O298" s="16">
        <f t="shared" si="261"/>
        <v>72662.397923875425</v>
      </c>
      <c r="P298" s="41"/>
      <c r="Q298" s="17">
        <f t="shared" si="257"/>
        <v>1375212</v>
      </c>
      <c r="R298" s="16"/>
      <c r="S298" s="60">
        <f t="shared" si="258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62"/>
        <v>358841</v>
      </c>
      <c r="AB298" s="33"/>
      <c r="AC298" s="46">
        <f t="shared" si="263"/>
        <v>1.7088128046123911E-2</v>
      </c>
      <c r="AD298" s="33"/>
      <c r="AE298" s="33">
        <f t="shared" si="264"/>
        <v>1241.6643598615917</v>
      </c>
      <c r="AF298" s="50"/>
      <c r="AG298" s="33">
        <f t="shared" si="265"/>
        <v>18451</v>
      </c>
      <c r="AH298" s="33">
        <f t="shared" si="266"/>
        <v>1138620461.060914</v>
      </c>
      <c r="AI298" s="213">
        <f t="shared" si="267"/>
        <v>0.18915957721062129</v>
      </c>
      <c r="AJ298" s="50"/>
      <c r="AK298" s="10"/>
      <c r="AL298" s="23">
        <f t="shared" si="268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9"/>
        <v>1.5238865224997599E-2</v>
      </c>
      <c r="AS298" s="25"/>
      <c r="AT298" s="25"/>
      <c r="AU298" s="24"/>
      <c r="AV298" s="298">
        <f t="shared" si="270"/>
        <v>0.58865336983146166</v>
      </c>
      <c r="AW298" s="298"/>
      <c r="AX298" s="24">
        <f t="shared" si="271"/>
        <v>42772.965397923872</v>
      </c>
      <c r="AY298" s="308"/>
      <c r="AZ298" s="10"/>
      <c r="BA298" s="65">
        <f t="shared" si="272"/>
        <v>2065910</v>
      </c>
      <c r="BB298" s="66"/>
      <c r="BC298" s="66">
        <v>256748633</v>
      </c>
      <c r="BD298" s="66"/>
      <c r="BE298" s="66">
        <f t="shared" si="273"/>
        <v>232227</v>
      </c>
      <c r="BF298" s="66"/>
      <c r="BG298" s="144">
        <f t="shared" si="274"/>
        <v>0.11240905944595844</v>
      </c>
      <c r="BH298" s="66"/>
      <c r="BI298" s="170"/>
      <c r="BJ298" s="66"/>
      <c r="BK298" s="66">
        <f t="shared" si="275"/>
        <v>11307127</v>
      </c>
      <c r="BL298" s="66"/>
      <c r="BM298" s="144">
        <f t="shared" si="276"/>
        <v>0.12162346810113657</v>
      </c>
      <c r="BN298" s="65">
        <f t="shared" si="277"/>
        <v>888403.57439446368</v>
      </c>
      <c r="BO298" s="66"/>
      <c r="BP298" s="66">
        <f t="shared" si="278"/>
        <v>20092455</v>
      </c>
      <c r="BQ298" s="66"/>
      <c r="BR298" s="435">
        <f t="shared" ref="BR298:BR304" si="279">+BP298/BC298</f>
        <v>7.8257300789601483E-2</v>
      </c>
      <c r="BS298" s="66"/>
      <c r="BT298" s="75"/>
      <c r="BU298" s="170"/>
      <c r="BV298" s="1"/>
      <c r="BW298" s="61">
        <f t="shared" si="189"/>
        <v>289</v>
      </c>
    </row>
    <row r="299" spans="2:75" x14ac:dyDescent="0.3">
      <c r="B299" s="347">
        <f t="shared" si="163"/>
        <v>44199</v>
      </c>
      <c r="C299" s="61"/>
      <c r="D299" s="17">
        <v>194337</v>
      </c>
      <c r="E299" s="16"/>
      <c r="F299" s="16"/>
      <c r="G299" s="16"/>
      <c r="H299" s="16">
        <f t="shared" si="259"/>
        <v>21193770</v>
      </c>
      <c r="I299" s="16"/>
      <c r="J299" s="436">
        <f t="shared" si="260"/>
        <v>9.2543927257464527E-3</v>
      </c>
      <c r="K299" s="16"/>
      <c r="L299" s="16"/>
      <c r="M299" s="16"/>
      <c r="N299" s="16">
        <f t="shared" si="256"/>
        <v>1441809</v>
      </c>
      <c r="O299" s="16">
        <f t="shared" si="261"/>
        <v>73081.965517241377</v>
      </c>
      <c r="P299" s="41"/>
      <c r="Q299" s="17">
        <f t="shared" si="257"/>
        <v>1441809</v>
      </c>
      <c r="R299" s="16"/>
      <c r="S299" s="60">
        <f t="shared" si="258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62"/>
        <v>360228</v>
      </c>
      <c r="AB299" s="33"/>
      <c r="AC299" s="46">
        <f t="shared" si="263"/>
        <v>1.699688163078112E-2</v>
      </c>
      <c r="AD299" s="33"/>
      <c r="AE299" s="33">
        <f t="shared" si="264"/>
        <v>1242.1655172413793</v>
      </c>
      <c r="AF299" s="50"/>
      <c r="AG299" s="33">
        <f t="shared" si="265"/>
        <v>18623</v>
      </c>
      <c r="AH299" s="33">
        <f t="shared" si="266"/>
        <v>1138385189.060914</v>
      </c>
      <c r="AI299" s="213">
        <f t="shared" si="267"/>
        <v>0.21934132128592942</v>
      </c>
      <c r="AJ299" s="50"/>
      <c r="AK299" s="10"/>
      <c r="AL299" s="23">
        <f t="shared" si="268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9"/>
        <v>6.1134725415521738E-3</v>
      </c>
      <c r="AS299" s="25"/>
      <c r="AT299" s="25"/>
      <c r="AU299" s="24"/>
      <c r="AV299" s="298">
        <f t="shared" si="270"/>
        <v>0.5868214102540511</v>
      </c>
      <c r="AW299" s="298"/>
      <c r="AX299" s="24">
        <f t="shared" si="271"/>
        <v>42886.062068965519</v>
      </c>
      <c r="AY299" s="308"/>
      <c r="AZ299" s="10"/>
      <c r="BA299" s="65">
        <f t="shared" si="272"/>
        <v>1421617</v>
      </c>
      <c r="BB299" s="66"/>
      <c r="BC299" s="66">
        <v>258170250</v>
      </c>
      <c r="BD299" s="66"/>
      <c r="BE299" s="66">
        <f t="shared" si="273"/>
        <v>194337</v>
      </c>
      <c r="BF299" s="66"/>
      <c r="BG299" s="144">
        <f t="shared" si="274"/>
        <v>0.13670137596835152</v>
      </c>
      <c r="BH299" s="66"/>
      <c r="BI299" s="170"/>
      <c r="BJ299" s="66"/>
      <c r="BK299" s="66">
        <f t="shared" si="275"/>
        <v>11460277</v>
      </c>
      <c r="BL299" s="66"/>
      <c r="BM299" s="144">
        <f t="shared" si="276"/>
        <v>0.12580926272549955</v>
      </c>
      <c r="BN299" s="65">
        <f t="shared" si="277"/>
        <v>890242.24137931038</v>
      </c>
      <c r="BO299" s="66"/>
      <c r="BP299" s="66">
        <f t="shared" si="278"/>
        <v>20286792</v>
      </c>
      <c r="BQ299" s="66"/>
      <c r="BR299" s="435">
        <f t="shared" si="279"/>
        <v>7.8579123659678063E-2</v>
      </c>
      <c r="BS299" s="66"/>
      <c r="BT299" s="75"/>
      <c r="BU299" s="170"/>
      <c r="BV299" s="1"/>
      <c r="BW299" s="61">
        <f t="shared" si="189"/>
        <v>290</v>
      </c>
    </row>
    <row r="300" spans="2:75" x14ac:dyDescent="0.3">
      <c r="B300" s="158">
        <f t="shared" si="163"/>
        <v>44200</v>
      </c>
      <c r="C300" s="61"/>
      <c r="D300" s="17">
        <v>190162</v>
      </c>
      <c r="E300" s="16"/>
      <c r="F300" s="16"/>
      <c r="G300" s="16"/>
      <c r="H300" s="16">
        <f t="shared" si="259"/>
        <v>21383932</v>
      </c>
      <c r="I300" s="16"/>
      <c r="J300" s="436">
        <f t="shared" si="260"/>
        <v>8.9725424027910089E-3</v>
      </c>
      <c r="K300" s="16"/>
      <c r="L300" s="16"/>
      <c r="M300" s="16"/>
      <c r="N300" s="16">
        <f t="shared" ref="N300:N331" si="280">SUM(D294:D300)</f>
        <v>1445580</v>
      </c>
      <c r="O300" s="16">
        <f t="shared" si="261"/>
        <v>73484.302405498282</v>
      </c>
      <c r="P300" s="41"/>
      <c r="Q300" s="17">
        <f t="shared" si="257"/>
        <v>1445580</v>
      </c>
      <c r="R300" s="16"/>
      <c r="S300" s="60">
        <f t="shared" si="258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62"/>
        <v>362213</v>
      </c>
      <c r="AB300" s="33"/>
      <c r="AC300" s="46">
        <f t="shared" si="263"/>
        <v>1.6938559288347907E-2</v>
      </c>
      <c r="AD300" s="33"/>
      <c r="AE300" s="33">
        <f t="shared" si="264"/>
        <v>1244.7182130584192</v>
      </c>
      <c r="AF300" s="50"/>
      <c r="AG300" s="33">
        <f t="shared" si="265"/>
        <v>18642</v>
      </c>
      <c r="AH300" s="33">
        <f t="shared" si="266"/>
        <v>1138172706.060914</v>
      </c>
      <c r="AI300" s="213">
        <f t="shared" si="267"/>
        <v>0.21067671126120274</v>
      </c>
      <c r="AJ300" s="50"/>
      <c r="AK300" s="10"/>
      <c r="AL300" s="23">
        <f t="shared" si="268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9"/>
        <v>2.4085793326631803E-2</v>
      </c>
      <c r="AS300" s="25"/>
      <c r="AT300" s="25"/>
      <c r="AU300" s="24"/>
      <c r="AV300" s="298">
        <f t="shared" si="270"/>
        <v>0.59561132162223485</v>
      </c>
      <c r="AW300" s="298"/>
      <c r="AX300" s="24">
        <f t="shared" si="271"/>
        <v>43768.082474226801</v>
      </c>
      <c r="AY300" s="308"/>
      <c r="AZ300" s="10"/>
      <c r="BA300" s="65">
        <f t="shared" si="272"/>
        <v>2058691</v>
      </c>
      <c r="BB300" s="66"/>
      <c r="BC300" s="66">
        <v>260228941</v>
      </c>
      <c r="BD300" s="66"/>
      <c r="BE300" s="66">
        <f t="shared" si="273"/>
        <v>190162</v>
      </c>
      <c r="BF300" s="66"/>
      <c r="BG300" s="144">
        <f t="shared" si="274"/>
        <v>9.237034601113038E-2</v>
      </c>
      <c r="BH300" s="66"/>
      <c r="BI300" s="170"/>
      <c r="BJ300" s="66"/>
      <c r="BK300" s="66">
        <f t="shared" si="275"/>
        <v>11113482</v>
      </c>
      <c r="BL300" s="66"/>
      <c r="BM300" s="144">
        <f t="shared" si="276"/>
        <v>0.13007444471498672</v>
      </c>
      <c r="BN300" s="65">
        <f t="shared" si="277"/>
        <v>894257.52920962195</v>
      </c>
      <c r="BO300" s="66"/>
      <c r="BP300" s="66">
        <f t="shared" si="278"/>
        <v>20476954</v>
      </c>
      <c r="BQ300" s="66"/>
      <c r="BR300" s="435">
        <f t="shared" si="279"/>
        <v>7.8688227071561576E-2</v>
      </c>
      <c r="BS300" s="66"/>
      <c r="BT300" s="75"/>
      <c r="BU300" s="170"/>
      <c r="BV300" s="1"/>
      <c r="BW300" s="61">
        <f t="shared" si="189"/>
        <v>291</v>
      </c>
    </row>
    <row r="301" spans="2:75" x14ac:dyDescent="0.3">
      <c r="B301" s="158">
        <f t="shared" si="163"/>
        <v>44201</v>
      </c>
      <c r="C301" s="61"/>
      <c r="D301" s="17">
        <v>234711</v>
      </c>
      <c r="E301" s="16"/>
      <c r="F301" s="16"/>
      <c r="G301" s="16"/>
      <c r="H301" s="16">
        <f t="shared" si="259"/>
        <v>21618643</v>
      </c>
      <c r="I301" s="16"/>
      <c r="J301" s="436">
        <f t="shared" si="260"/>
        <v>1.0976045004258337E-2</v>
      </c>
      <c r="K301" s="16"/>
      <c r="L301" s="16"/>
      <c r="M301" s="16"/>
      <c r="N301" s="16">
        <f t="shared" si="280"/>
        <v>1480669</v>
      </c>
      <c r="O301" s="16">
        <f t="shared" si="261"/>
        <v>74036.448630136991</v>
      </c>
      <c r="P301" s="41"/>
      <c r="Q301" s="17">
        <f t="shared" ref="Q301:Q332" si="281">SUM(D295:D301)</f>
        <v>1480669</v>
      </c>
      <c r="R301" s="16"/>
      <c r="S301" s="60">
        <f t="shared" ref="S301:S332" si="282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62"/>
        <v>365982</v>
      </c>
      <c r="AB301" s="33"/>
      <c r="AC301" s="46">
        <f t="shared" si="263"/>
        <v>1.6928999660154431E-2</v>
      </c>
      <c r="AD301" s="33"/>
      <c r="AE301" s="33">
        <f t="shared" si="264"/>
        <v>1253.3630136986301</v>
      </c>
      <c r="AF301" s="50"/>
      <c r="AG301" s="33">
        <f t="shared" si="265"/>
        <v>18695</v>
      </c>
      <c r="AH301" s="33">
        <f t="shared" si="266"/>
        <v>1137989927.060914</v>
      </c>
      <c r="AI301" s="213">
        <f t="shared" si="267"/>
        <v>0.18788918541110688</v>
      </c>
      <c r="AJ301" s="50"/>
      <c r="AK301" s="10"/>
      <c r="AL301" s="23">
        <f t="shared" si="268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9"/>
        <v>1.0107162777375785E-2</v>
      </c>
      <c r="AS301" s="25"/>
      <c r="AT301" s="25"/>
      <c r="AU301" s="24"/>
      <c r="AV301" s="298">
        <f t="shared" si="270"/>
        <v>0.59509942414054384</v>
      </c>
      <c r="AW301" s="298"/>
      <c r="AX301" s="24">
        <f t="shared" si="271"/>
        <v>44059.047945205479</v>
      </c>
      <c r="AY301" s="308"/>
      <c r="AZ301" s="10"/>
      <c r="BA301" s="65">
        <f t="shared" si="272"/>
        <v>1648514</v>
      </c>
      <c r="BB301" s="66"/>
      <c r="BC301" s="66">
        <v>261877455</v>
      </c>
      <c r="BD301" s="66"/>
      <c r="BE301" s="66">
        <f t="shared" si="273"/>
        <v>234711</v>
      </c>
      <c r="BF301" s="66"/>
      <c r="BG301" s="144">
        <f t="shared" si="274"/>
        <v>0.14237731678347895</v>
      </c>
      <c r="BH301" s="66"/>
      <c r="BI301" s="170"/>
      <c r="BJ301" s="66"/>
      <c r="BK301" s="66">
        <f t="shared" si="275"/>
        <v>11705209</v>
      </c>
      <c r="BL301" s="66"/>
      <c r="BM301" s="144">
        <f t="shared" si="276"/>
        <v>0.12649658797207294</v>
      </c>
      <c r="BN301" s="65">
        <f t="shared" si="277"/>
        <v>896840.59931506845</v>
      </c>
      <c r="BO301" s="66"/>
      <c r="BP301" s="66">
        <f t="shared" si="278"/>
        <v>20711665</v>
      </c>
      <c r="BQ301" s="66"/>
      <c r="BR301" s="435">
        <f t="shared" si="279"/>
        <v>7.9089148777621965E-2</v>
      </c>
      <c r="BS301" s="66"/>
      <c r="BT301" s="75"/>
      <c r="BU301" s="170"/>
      <c r="BV301" s="1"/>
      <c r="BW301" s="61">
        <f t="shared" si="189"/>
        <v>292</v>
      </c>
    </row>
    <row r="302" spans="2:75" x14ac:dyDescent="0.3">
      <c r="B302" s="158">
        <f t="shared" si="163"/>
        <v>44202</v>
      </c>
      <c r="C302" s="61"/>
      <c r="D302" s="17">
        <v>260973</v>
      </c>
      <c r="E302" s="16"/>
      <c r="F302" s="16"/>
      <c r="G302" s="16"/>
      <c r="H302" s="16">
        <f t="shared" si="259"/>
        <v>21879616</v>
      </c>
      <c r="I302" s="16"/>
      <c r="J302" s="436">
        <f t="shared" si="260"/>
        <v>1.2071664257557702E-2</v>
      </c>
      <c r="K302" s="16"/>
      <c r="L302" s="16"/>
      <c r="M302" s="16"/>
      <c r="N302" s="16">
        <f t="shared" si="280"/>
        <v>1506867</v>
      </c>
      <c r="O302" s="16">
        <f t="shared" si="261"/>
        <v>74674.457337883956</v>
      </c>
      <c r="P302" s="41"/>
      <c r="Q302" s="17">
        <f t="shared" si="281"/>
        <v>1506867</v>
      </c>
      <c r="R302" s="16"/>
      <c r="S302" s="60">
        <f t="shared" si="282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62"/>
        <v>370082</v>
      </c>
      <c r="AB302" s="33"/>
      <c r="AC302" s="46">
        <f t="shared" si="263"/>
        <v>1.6914465043627824E-2</v>
      </c>
      <c r="AD302" s="33"/>
      <c r="AE302" s="33">
        <f t="shared" si="264"/>
        <v>1263.0784982935154</v>
      </c>
      <c r="AF302" s="50"/>
      <c r="AG302" s="33">
        <f t="shared" si="265"/>
        <v>18915</v>
      </c>
      <c r="AH302" s="33">
        <f t="shared" si="266"/>
        <v>1137789842.060914</v>
      </c>
      <c r="AI302" s="213">
        <f t="shared" si="267"/>
        <v>0.16636862551643336</v>
      </c>
      <c r="AJ302" s="50"/>
      <c r="AK302" s="10"/>
      <c r="AL302" s="23">
        <f t="shared" si="268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9"/>
        <v>1.2351108513932346E-2</v>
      </c>
      <c r="AS302" s="25"/>
      <c r="AT302" s="25"/>
      <c r="AU302" s="24"/>
      <c r="AV302" s="298">
        <f t="shared" si="270"/>
        <v>0.59526373771824881</v>
      </c>
      <c r="AW302" s="298"/>
      <c r="AX302" s="24">
        <f t="shared" si="271"/>
        <v>44450.996587030713</v>
      </c>
      <c r="AY302" s="308"/>
      <c r="AZ302" s="10"/>
      <c r="BA302" s="65">
        <f t="shared" si="272"/>
        <v>1658563</v>
      </c>
      <c r="BB302" s="66"/>
      <c r="BC302" s="66">
        <v>263536018</v>
      </c>
      <c r="BD302" s="66"/>
      <c r="BE302" s="66">
        <f t="shared" si="273"/>
        <v>260973</v>
      </c>
      <c r="BF302" s="66"/>
      <c r="BG302" s="144">
        <f t="shared" si="274"/>
        <v>0.15734886163504191</v>
      </c>
      <c r="BH302" s="66"/>
      <c r="BI302" s="170"/>
      <c r="BJ302" s="66"/>
      <c r="BK302" s="66">
        <f t="shared" si="275"/>
        <v>11768809</v>
      </c>
      <c r="BL302" s="66"/>
      <c r="BM302" s="144">
        <f t="shared" si="276"/>
        <v>0.12803903946440121</v>
      </c>
      <c r="BN302" s="65">
        <f t="shared" si="277"/>
        <v>899440.33447098976</v>
      </c>
      <c r="BO302" s="66"/>
      <c r="BP302" s="66">
        <f t="shared" si="278"/>
        <v>20972638</v>
      </c>
      <c r="BQ302" s="66"/>
      <c r="BR302" s="435">
        <f t="shared" si="279"/>
        <v>7.9581676004530047E-2</v>
      </c>
      <c r="BS302" s="66"/>
      <c r="BT302" s="75"/>
      <c r="BU302" s="170"/>
      <c r="BV302" s="1"/>
      <c r="BW302" s="61">
        <f t="shared" si="189"/>
        <v>293</v>
      </c>
    </row>
    <row r="303" spans="2:75" x14ac:dyDescent="0.3">
      <c r="B303" s="158">
        <f t="shared" si="163"/>
        <v>44203</v>
      </c>
      <c r="C303" s="61"/>
      <c r="D303" s="17">
        <v>274190</v>
      </c>
      <c r="E303" s="16"/>
      <c r="F303" s="16"/>
      <c r="G303" s="16"/>
      <c r="H303" s="16">
        <f t="shared" si="259"/>
        <v>22153806</v>
      </c>
      <c r="I303" s="16"/>
      <c r="J303" s="436">
        <f t="shared" si="260"/>
        <v>1.2531755584741525E-2</v>
      </c>
      <c r="K303" s="16"/>
      <c r="L303" s="16"/>
      <c r="M303" s="16"/>
      <c r="N303" s="16">
        <f t="shared" si="280"/>
        <v>1552644</v>
      </c>
      <c r="O303" s="16">
        <f t="shared" si="261"/>
        <v>75353.081632653062</v>
      </c>
      <c r="P303" s="41"/>
      <c r="Q303" s="17">
        <f t="shared" si="281"/>
        <v>1552644</v>
      </c>
      <c r="R303" s="16"/>
      <c r="S303" s="60">
        <f t="shared" si="282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62"/>
        <v>374216</v>
      </c>
      <c r="AB303" s="33"/>
      <c r="AC303" s="46">
        <f t="shared" si="263"/>
        <v>1.6891725060696118E-2</v>
      </c>
      <c r="AD303" s="33"/>
      <c r="AE303" s="33">
        <f t="shared" si="264"/>
        <v>1272.843537414966</v>
      </c>
      <c r="AF303" s="50"/>
      <c r="AG303" s="33">
        <f t="shared" si="265"/>
        <v>19611</v>
      </c>
      <c r="AH303" s="33">
        <f t="shared" si="266"/>
        <v>1137580086.060914</v>
      </c>
      <c r="AI303" s="213">
        <f t="shared" si="267"/>
        <v>0.16593341260404282</v>
      </c>
      <c r="AJ303" s="50"/>
      <c r="AK303" s="10"/>
      <c r="AL303" s="23">
        <f t="shared" si="268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9"/>
        <v>9.1503148537538971E-3</v>
      </c>
      <c r="AS303" s="25"/>
      <c r="AT303" s="25"/>
      <c r="AU303" s="24"/>
      <c r="AV303" s="298">
        <f t="shared" si="270"/>
        <v>0.59327580100683375</v>
      </c>
      <c r="AW303" s="298"/>
      <c r="AX303" s="24">
        <f t="shared" si="271"/>
        <v>44705.159863945577</v>
      </c>
      <c r="AY303" s="308"/>
      <c r="AZ303" s="10"/>
      <c r="BA303" s="65">
        <f t="shared" si="272"/>
        <v>1908845</v>
      </c>
      <c r="BB303" s="66"/>
      <c r="BC303" s="66">
        <v>265444863</v>
      </c>
      <c r="BD303" s="66"/>
      <c r="BE303" s="66">
        <f t="shared" si="273"/>
        <v>274190</v>
      </c>
      <c r="BF303" s="66"/>
      <c r="BG303" s="144">
        <f t="shared" si="274"/>
        <v>0.14364183576979797</v>
      </c>
      <c r="BH303" s="66"/>
      <c r="BI303" s="170"/>
      <c r="BJ303" s="66"/>
      <c r="BK303" s="66">
        <f t="shared" si="275"/>
        <v>11902223</v>
      </c>
      <c r="BL303" s="66"/>
      <c r="BM303" s="144">
        <f t="shared" si="276"/>
        <v>0.13044991679285459</v>
      </c>
      <c r="BN303" s="65">
        <f t="shared" si="277"/>
        <v>902873.68367346935</v>
      </c>
      <c r="BO303" s="66"/>
      <c r="BP303" s="66">
        <f t="shared" si="278"/>
        <v>21246828</v>
      </c>
      <c r="BQ303" s="66"/>
      <c r="BR303" s="435">
        <f t="shared" si="279"/>
        <v>8.0042340092300074E-2</v>
      </c>
      <c r="BS303" s="66"/>
      <c r="BT303" s="75"/>
      <c r="BU303" s="170"/>
      <c r="BV303" s="1"/>
      <c r="BW303" s="61">
        <f t="shared" si="189"/>
        <v>294</v>
      </c>
    </row>
    <row r="304" spans="2:75" x14ac:dyDescent="0.3">
      <c r="B304" s="158">
        <f t="shared" si="163"/>
        <v>44204</v>
      </c>
      <c r="C304" s="61"/>
      <c r="D304" s="17">
        <v>306449</v>
      </c>
      <c r="E304" s="16"/>
      <c r="F304" s="16"/>
      <c r="G304" s="16"/>
      <c r="H304" s="16">
        <f t="shared" si="259"/>
        <v>22460255</v>
      </c>
      <c r="I304" s="16"/>
      <c r="J304" s="436">
        <f t="shared" si="260"/>
        <v>1.3832792433047397E-2</v>
      </c>
      <c r="K304" s="16"/>
      <c r="L304" s="16"/>
      <c r="M304" s="16"/>
      <c r="N304" s="16">
        <f t="shared" si="280"/>
        <v>1693049</v>
      </c>
      <c r="O304" s="16">
        <f t="shared" si="261"/>
        <v>76136.457627118638</v>
      </c>
      <c r="P304" s="41"/>
      <c r="Q304" s="17">
        <f t="shared" si="281"/>
        <v>1693049</v>
      </c>
      <c r="R304" s="16"/>
      <c r="S304" s="60">
        <f t="shared" si="282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62"/>
        <v>378185</v>
      </c>
      <c r="AB304" s="33"/>
      <c r="AC304" s="46">
        <f t="shared" si="263"/>
        <v>1.6837965552928942E-2</v>
      </c>
      <c r="AD304" s="33"/>
      <c r="AE304" s="33">
        <f t="shared" si="264"/>
        <v>1281.9830508474577</v>
      </c>
      <c r="AF304" s="50"/>
      <c r="AG304" s="33">
        <f t="shared" si="265"/>
        <v>21451</v>
      </c>
      <c r="AH304" s="33">
        <f t="shared" si="266"/>
        <v>1137353133.060914</v>
      </c>
      <c r="AI304" s="213">
        <f t="shared" si="267"/>
        <v>0.20837088778729157</v>
      </c>
      <c r="AJ304" s="50"/>
      <c r="AK304" s="10"/>
      <c r="AL304" s="23">
        <f t="shared" si="268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9"/>
        <v>8.8738634242786652E-3</v>
      </c>
      <c r="AS304" s="25"/>
      <c r="AT304" s="25"/>
      <c r="AU304" s="24"/>
      <c r="AV304" s="298">
        <f t="shared" si="270"/>
        <v>0.59037392941442557</v>
      </c>
      <c r="AW304" s="298"/>
      <c r="AX304" s="24">
        <f t="shared" si="271"/>
        <v>44948.979661016951</v>
      </c>
      <c r="AY304" s="308"/>
      <c r="AZ304" s="10"/>
      <c r="BA304" s="65">
        <f t="shared" si="272"/>
        <v>2068185</v>
      </c>
      <c r="BB304" s="66"/>
      <c r="BC304" s="66">
        <v>267513048</v>
      </c>
      <c r="BD304" s="66"/>
      <c r="BE304" s="66">
        <f t="shared" si="273"/>
        <v>306449</v>
      </c>
      <c r="BF304" s="66"/>
      <c r="BG304" s="144">
        <f t="shared" si="274"/>
        <v>0.14817291489881224</v>
      </c>
      <c r="BH304" s="66"/>
      <c r="BI304" s="170"/>
      <c r="BJ304" s="66"/>
      <c r="BK304" s="66">
        <f t="shared" si="275"/>
        <v>12830325</v>
      </c>
      <c r="BL304" s="66"/>
      <c r="BM304" s="144">
        <f t="shared" si="276"/>
        <v>0.13195682884104651</v>
      </c>
      <c r="BN304" s="65">
        <f t="shared" si="277"/>
        <v>906823.89152542374</v>
      </c>
      <c r="BO304" s="66"/>
      <c r="BP304" s="66">
        <f t="shared" si="278"/>
        <v>21553277</v>
      </c>
      <c r="BQ304" s="66"/>
      <c r="BR304" s="435">
        <f t="shared" si="279"/>
        <v>8.0569068167471225E-2</v>
      </c>
      <c r="BS304" s="66"/>
      <c r="BT304" s="75"/>
      <c r="BU304" s="170"/>
      <c r="BV304" s="1"/>
      <c r="BW304" s="61">
        <f t="shared" si="189"/>
        <v>295</v>
      </c>
    </row>
    <row r="305" spans="2:75" x14ac:dyDescent="0.3">
      <c r="B305" s="158">
        <f t="shared" si="163"/>
        <v>44205</v>
      </c>
      <c r="C305" s="61"/>
      <c r="D305" s="17">
        <v>249694</v>
      </c>
      <c r="E305" s="16"/>
      <c r="F305" s="16"/>
      <c r="G305" s="16"/>
      <c r="H305" s="16">
        <f t="shared" si="259"/>
        <v>22709949</v>
      </c>
      <c r="I305" s="16"/>
      <c r="J305" s="436">
        <f t="shared" si="260"/>
        <v>1.1117148937089094E-2</v>
      </c>
      <c r="K305" s="16"/>
      <c r="L305" s="16"/>
      <c r="M305" s="16"/>
      <c r="N305" s="16">
        <f t="shared" si="280"/>
        <v>1710516</v>
      </c>
      <c r="O305" s="16">
        <f t="shared" si="261"/>
        <v>76722.80067567568</v>
      </c>
      <c r="P305" s="41"/>
      <c r="Q305" s="17">
        <f t="shared" si="281"/>
        <v>1710516</v>
      </c>
      <c r="R305" s="16"/>
      <c r="S305" s="60">
        <f t="shared" si="282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62"/>
        <v>381423</v>
      </c>
      <c r="AB305" s="33"/>
      <c r="AC305" s="46">
        <f t="shared" si="263"/>
        <v>1.6795414203704288E-2</v>
      </c>
      <c r="AD305" s="33"/>
      <c r="AE305" s="33">
        <f t="shared" si="264"/>
        <v>1288.5912162162163</v>
      </c>
      <c r="AF305" s="50"/>
      <c r="AG305" s="33">
        <f t="shared" si="265"/>
        <v>22582</v>
      </c>
      <c r="AH305" s="33">
        <f t="shared" si="266"/>
        <v>1137125819.060914</v>
      </c>
      <c r="AI305" s="213">
        <f t="shared" si="267"/>
        <v>0.22389030404856106</v>
      </c>
      <c r="AJ305" s="50"/>
      <c r="AK305" s="10"/>
      <c r="AL305" s="23">
        <f t="shared" si="268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9"/>
        <v>1.004068718514679E-2</v>
      </c>
      <c r="AS305" s="25"/>
      <c r="AT305" s="25"/>
      <c r="AU305" s="24"/>
      <c r="AV305" s="298">
        <f t="shared" si="270"/>
        <v>0.58974540189412139</v>
      </c>
      <c r="AW305" s="298"/>
      <c r="AX305" s="24">
        <f t="shared" si="271"/>
        <v>45246.91891891892</v>
      </c>
      <c r="AY305" s="308"/>
      <c r="AZ305" s="10"/>
      <c r="BA305" s="65">
        <f t="shared" si="272"/>
        <v>2006776</v>
      </c>
      <c r="BB305" s="66"/>
      <c r="BC305" s="66">
        <v>269519824</v>
      </c>
      <c r="BD305" s="66"/>
      <c r="BE305" s="66">
        <f t="shared" si="273"/>
        <v>249694</v>
      </c>
      <c r="BF305" s="66"/>
      <c r="BG305" s="144">
        <f t="shared" si="274"/>
        <v>0.12442544658696336</v>
      </c>
      <c r="BH305" s="66"/>
      <c r="BI305" s="170"/>
      <c r="BJ305" s="66"/>
      <c r="BK305" s="66">
        <f t="shared" si="275"/>
        <v>12771191</v>
      </c>
      <c r="BL305" s="66"/>
      <c r="BM305" s="144">
        <f t="shared" si="276"/>
        <v>0.13393551157444908</v>
      </c>
      <c r="BN305" s="65">
        <f t="shared" si="277"/>
        <v>910539.94594594592</v>
      </c>
      <c r="BO305" s="66"/>
      <c r="BP305" s="66">
        <f t="shared" si="278"/>
        <v>21802971</v>
      </c>
      <c r="BQ305" s="66"/>
      <c r="BR305" s="435">
        <f t="shared" ref="BR305:BR336" si="283">+BP305/BC305</f>
        <v>8.0895611597015582E-2</v>
      </c>
      <c r="BS305" s="66"/>
      <c r="BT305" s="75"/>
      <c r="BU305" s="170"/>
      <c r="BV305" s="1"/>
      <c r="BW305" s="61">
        <f t="shared" si="189"/>
        <v>296</v>
      </c>
    </row>
    <row r="306" spans="2:75" x14ac:dyDescent="0.3">
      <c r="B306" s="347">
        <f t="shared" si="163"/>
        <v>44206</v>
      </c>
      <c r="C306" s="61"/>
      <c r="D306" s="17">
        <v>220827</v>
      </c>
      <c r="E306" s="16"/>
      <c r="F306" s="16"/>
      <c r="G306" s="16"/>
      <c r="H306" s="16">
        <f t="shared" si="259"/>
        <v>22930776</v>
      </c>
      <c r="I306" s="16"/>
      <c r="J306" s="436">
        <f t="shared" si="260"/>
        <v>9.7237999081371783E-3</v>
      </c>
      <c r="K306" s="16"/>
      <c r="L306" s="16"/>
      <c r="M306" s="16"/>
      <c r="N306" s="16">
        <f t="shared" si="280"/>
        <v>1737006</v>
      </c>
      <c r="O306" s="16">
        <f t="shared" si="261"/>
        <v>77208</v>
      </c>
      <c r="P306" s="41"/>
      <c r="Q306" s="17">
        <f t="shared" si="281"/>
        <v>1737006</v>
      </c>
      <c r="R306" s="16"/>
      <c r="S306" s="60">
        <f t="shared" si="282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62"/>
        <v>383285</v>
      </c>
      <c r="AB306" s="33"/>
      <c r="AC306" s="46">
        <f t="shared" si="263"/>
        <v>1.6714872623586747E-2</v>
      </c>
      <c r="AD306" s="33"/>
      <c r="AE306" s="33">
        <f t="shared" si="264"/>
        <v>1290.5218855218855</v>
      </c>
      <c r="AF306" s="50"/>
      <c r="AG306" s="33">
        <f t="shared" si="265"/>
        <v>23057</v>
      </c>
      <c r="AH306" s="33">
        <f t="shared" si="266"/>
        <v>1136879058.060914</v>
      </c>
      <c r="AI306" s="213">
        <f t="shared" si="267"/>
        <v>0.23809268109327175</v>
      </c>
      <c r="AJ306" s="50"/>
      <c r="AK306" s="10"/>
      <c r="AL306" s="23">
        <f t="shared" si="268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9"/>
        <v>7.3106366507858381E-3</v>
      </c>
      <c r="AS306" s="25"/>
      <c r="AT306" s="25"/>
      <c r="AU306" s="24"/>
      <c r="AV306" s="298">
        <f t="shared" si="270"/>
        <v>0.58833595513732284</v>
      </c>
      <c r="AW306" s="298"/>
      <c r="AX306" s="24">
        <f t="shared" si="271"/>
        <v>45424.242424242424</v>
      </c>
      <c r="AY306" s="308"/>
      <c r="AZ306" s="10"/>
      <c r="BA306" s="65">
        <f t="shared" si="272"/>
        <v>1480176</v>
      </c>
      <c r="BB306" s="66"/>
      <c r="BC306" s="66">
        <v>271000000</v>
      </c>
      <c r="BD306" s="66"/>
      <c r="BE306" s="66">
        <f t="shared" si="273"/>
        <v>220827</v>
      </c>
      <c r="BF306" s="66"/>
      <c r="BG306" s="144">
        <f t="shared" si="274"/>
        <v>0.14918969095567014</v>
      </c>
      <c r="BH306" s="66"/>
      <c r="BI306" s="170"/>
      <c r="BJ306" s="66"/>
      <c r="BK306" s="66">
        <f t="shared" si="275"/>
        <v>12829750</v>
      </c>
      <c r="BL306" s="66"/>
      <c r="BM306" s="144">
        <f t="shared" si="276"/>
        <v>0.13538892028293614</v>
      </c>
      <c r="BN306" s="65">
        <f t="shared" si="277"/>
        <v>912457.91245791246</v>
      </c>
      <c r="BO306" s="66"/>
      <c r="BP306" s="66">
        <f t="shared" si="278"/>
        <v>22023798</v>
      </c>
      <c r="BQ306" s="66"/>
      <c r="BR306" s="435">
        <f t="shared" si="283"/>
        <v>8.1268627306273059E-2</v>
      </c>
      <c r="BS306" s="66"/>
      <c r="BT306" s="75"/>
      <c r="BU306" s="170"/>
      <c r="BV306" s="1"/>
      <c r="BW306" s="61">
        <f t="shared" si="189"/>
        <v>297</v>
      </c>
    </row>
    <row r="307" spans="2:75" x14ac:dyDescent="0.3">
      <c r="B307" s="158">
        <f t="shared" si="163"/>
        <v>44207</v>
      </c>
      <c r="C307" s="61"/>
      <c r="D307" s="17">
        <v>214683</v>
      </c>
      <c r="E307" s="16"/>
      <c r="F307" s="16"/>
      <c r="G307" s="16"/>
      <c r="H307" s="16">
        <f t="shared" si="259"/>
        <v>23145459</v>
      </c>
      <c r="I307" s="16"/>
      <c r="J307" s="436">
        <f t="shared" si="260"/>
        <v>9.3622213221218505E-3</v>
      </c>
      <c r="K307" s="16"/>
      <c r="L307" s="16"/>
      <c r="M307" s="16"/>
      <c r="N307" s="16">
        <f t="shared" si="280"/>
        <v>1761527</v>
      </c>
      <c r="O307" s="16">
        <f t="shared" si="261"/>
        <v>77669.325503355707</v>
      </c>
      <c r="P307" s="41"/>
      <c r="Q307" s="17">
        <f t="shared" si="281"/>
        <v>1761527</v>
      </c>
      <c r="R307" s="16"/>
      <c r="S307" s="60">
        <f t="shared" si="282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62"/>
        <v>385249</v>
      </c>
      <c r="AB307" s="33"/>
      <c r="AC307" s="46">
        <f t="shared" si="263"/>
        <v>1.6644690433661308E-2</v>
      </c>
      <c r="AD307" s="33"/>
      <c r="AE307" s="33">
        <f t="shared" si="264"/>
        <v>1292.7818791946308</v>
      </c>
      <c r="AF307" s="50"/>
      <c r="AG307" s="33">
        <f t="shared" si="265"/>
        <v>23036</v>
      </c>
      <c r="AH307" s="33">
        <f t="shared" si="266"/>
        <v>1136658760.060914</v>
      </c>
      <c r="AI307" s="213">
        <f t="shared" si="267"/>
        <v>0.23570432357043236</v>
      </c>
      <c r="AJ307" s="50"/>
      <c r="AK307" s="10"/>
      <c r="AL307" s="23">
        <f t="shared" si="268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9"/>
        <v>1.4043510488473797E-2</v>
      </c>
      <c r="AS307" s="25"/>
      <c r="AT307" s="25"/>
      <c r="AU307" s="24"/>
      <c r="AV307" s="298">
        <f t="shared" si="270"/>
        <v>0.59106457988152228</v>
      </c>
      <c r="AW307" s="298"/>
      <c r="AX307" s="24">
        <f t="shared" si="271"/>
        <v>45907.587248322146</v>
      </c>
      <c r="AY307" s="308"/>
      <c r="AZ307" s="10"/>
      <c r="BA307" s="65">
        <f t="shared" si="272"/>
        <v>2397007</v>
      </c>
      <c r="BB307" s="66"/>
      <c r="BC307" s="66">
        <v>273397007</v>
      </c>
      <c r="BD307" s="66"/>
      <c r="BE307" s="66">
        <f t="shared" si="273"/>
        <v>214683</v>
      </c>
      <c r="BF307" s="66"/>
      <c r="BG307" s="144">
        <f t="shared" si="274"/>
        <v>8.9562942452817207E-2</v>
      </c>
      <c r="BH307" s="66"/>
      <c r="BI307" s="170"/>
      <c r="BJ307" s="66"/>
      <c r="BK307" s="66">
        <f t="shared" si="275"/>
        <v>13168066</v>
      </c>
      <c r="BL307" s="66"/>
      <c r="BM307" s="144">
        <f t="shared" si="276"/>
        <v>0.13377264360613017</v>
      </c>
      <c r="BN307" s="65">
        <f t="shared" si="277"/>
        <v>917439.62080536911</v>
      </c>
      <c r="BO307" s="66"/>
      <c r="BP307" s="66">
        <f t="shared" si="278"/>
        <v>22238481</v>
      </c>
      <c r="BQ307" s="66"/>
      <c r="BR307" s="435">
        <f t="shared" si="283"/>
        <v>8.1341347676128731E-2</v>
      </c>
      <c r="BS307" s="66"/>
      <c r="BT307" s="75"/>
      <c r="BU307" s="170"/>
      <c r="BV307" s="1"/>
      <c r="BW307" s="61">
        <f t="shared" si="189"/>
        <v>298</v>
      </c>
    </row>
    <row r="308" spans="2:75" x14ac:dyDescent="0.3">
      <c r="B308" s="158">
        <f t="shared" si="163"/>
        <v>44208</v>
      </c>
      <c r="C308" s="61"/>
      <c r="D308" s="17">
        <v>223628</v>
      </c>
      <c r="E308" s="16"/>
      <c r="F308" s="16"/>
      <c r="G308" s="16"/>
      <c r="H308" s="16">
        <f t="shared" si="259"/>
        <v>23369087</v>
      </c>
      <c r="I308" s="16"/>
      <c r="J308" s="436">
        <f t="shared" si="260"/>
        <v>9.6618520289444253E-3</v>
      </c>
      <c r="K308" s="16"/>
      <c r="L308" s="16"/>
      <c r="M308" s="16"/>
      <c r="N308" s="16">
        <f t="shared" si="280"/>
        <v>1750444</v>
      </c>
      <c r="O308" s="16">
        <f t="shared" si="261"/>
        <v>78157.481605351175</v>
      </c>
      <c r="P308" s="41"/>
      <c r="Q308" s="17">
        <f t="shared" si="281"/>
        <v>1750444</v>
      </c>
      <c r="R308" s="16"/>
      <c r="S308" s="60">
        <f t="shared" si="282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62"/>
        <v>389530</v>
      </c>
      <c r="AB308" s="33"/>
      <c r="AC308" s="46">
        <f t="shared" si="263"/>
        <v>1.6668601558974042E-2</v>
      </c>
      <c r="AD308" s="33"/>
      <c r="AE308" s="33">
        <f t="shared" si="264"/>
        <v>1302.7759197324415</v>
      </c>
      <c r="AF308" s="50"/>
      <c r="AG308" s="33">
        <f t="shared" si="265"/>
        <v>23548</v>
      </c>
      <c r="AH308" s="33">
        <f t="shared" si="266"/>
        <v>1136470859.060914</v>
      </c>
      <c r="AI308" s="213">
        <f t="shared" si="267"/>
        <v>0.25958812516715701</v>
      </c>
      <c r="AJ308" s="50"/>
      <c r="AK308" s="10"/>
      <c r="AL308" s="23">
        <f t="shared" si="268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9"/>
        <v>9.9713014057055526E-3</v>
      </c>
      <c r="AS308" s="25"/>
      <c r="AT308" s="25"/>
      <c r="AU308" s="24"/>
      <c r="AV308" s="298">
        <f t="shared" si="270"/>
        <v>0.59124573416154425</v>
      </c>
      <c r="AW308" s="298"/>
      <c r="AX308" s="24">
        <f t="shared" si="271"/>
        <v>46210.277591973245</v>
      </c>
      <c r="AY308" s="308"/>
      <c r="AZ308" s="10"/>
      <c r="BA308" s="65">
        <f t="shared" si="272"/>
        <v>2207858</v>
      </c>
      <c r="BB308" s="66"/>
      <c r="BC308" s="66">
        <v>275604865</v>
      </c>
      <c r="BD308" s="66"/>
      <c r="BE308" s="66">
        <f t="shared" si="273"/>
        <v>223628</v>
      </c>
      <c r="BF308" s="66"/>
      <c r="BG308" s="144">
        <f t="shared" si="274"/>
        <v>0.10128731104989541</v>
      </c>
      <c r="BH308" s="66"/>
      <c r="BI308" s="170"/>
      <c r="BJ308" s="66"/>
      <c r="BK308" s="66">
        <f t="shared" si="275"/>
        <v>13727410</v>
      </c>
      <c r="BL308" s="66"/>
      <c r="BM308" s="144">
        <f t="shared" si="276"/>
        <v>0.12751451293434085</v>
      </c>
      <c r="BN308" s="65">
        <f t="shared" si="277"/>
        <v>921755.40133779263</v>
      </c>
      <c r="BO308" s="66"/>
      <c r="BP308" s="66">
        <f t="shared" si="278"/>
        <v>22462109</v>
      </c>
      <c r="BQ308" s="66"/>
      <c r="BR308" s="435">
        <f t="shared" si="283"/>
        <v>8.1501133878750659E-2</v>
      </c>
      <c r="BS308" s="66"/>
      <c r="BT308" s="75"/>
      <c r="BU308" s="170"/>
      <c r="BV308" s="1"/>
      <c r="BW308" s="61">
        <f t="shared" si="189"/>
        <v>299</v>
      </c>
    </row>
    <row r="309" spans="2:75" x14ac:dyDescent="0.3">
      <c r="B309" s="158">
        <f t="shared" si="163"/>
        <v>44209</v>
      </c>
      <c r="C309" s="61"/>
      <c r="D309" s="17">
        <v>238073</v>
      </c>
      <c r="E309" s="16"/>
      <c r="F309" s="16"/>
      <c r="G309" s="16"/>
      <c r="H309" s="16">
        <f t="shared" si="259"/>
        <v>23607160</v>
      </c>
      <c r="I309" s="16"/>
      <c r="J309" s="436">
        <f t="shared" si="260"/>
        <v>1.0187518237233658E-2</v>
      </c>
      <c r="K309" s="16"/>
      <c r="L309" s="16"/>
      <c r="M309" s="16"/>
      <c r="N309" s="16">
        <f t="shared" si="280"/>
        <v>1727544</v>
      </c>
      <c r="O309" s="16">
        <f t="shared" si="261"/>
        <v>78690.53333333334</v>
      </c>
      <c r="P309" s="41"/>
      <c r="Q309" s="17">
        <f t="shared" si="281"/>
        <v>1727544</v>
      </c>
      <c r="R309" s="16"/>
      <c r="S309" s="60">
        <f t="shared" si="282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62"/>
        <v>393625</v>
      </c>
      <c r="AB309" s="33"/>
      <c r="AC309" s="46">
        <f t="shared" si="263"/>
        <v>1.6673966711794219E-2</v>
      </c>
      <c r="AD309" s="33"/>
      <c r="AE309" s="33">
        <f t="shared" si="264"/>
        <v>1312.0833333333333</v>
      </c>
      <c r="AF309" s="50"/>
      <c r="AG309" s="33">
        <f t="shared" si="265"/>
        <v>23543</v>
      </c>
      <c r="AH309" s="33">
        <f t="shared" si="266"/>
        <v>1136271127.060914</v>
      </c>
      <c r="AI309" s="213">
        <f t="shared" si="267"/>
        <v>0.24467353951890033</v>
      </c>
      <c r="AJ309" s="50"/>
      <c r="AK309" s="10"/>
      <c r="AL309" s="23">
        <f t="shared" si="268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9"/>
        <v>1.144904494671117E-2</v>
      </c>
      <c r="AS309" s="25"/>
      <c r="AT309" s="25"/>
      <c r="AU309" s="24"/>
      <c r="AV309" s="298">
        <f t="shared" si="270"/>
        <v>0.59198408448962092</v>
      </c>
      <c r="AW309" s="298"/>
      <c r="AX309" s="24">
        <f t="shared" si="271"/>
        <v>46583.543333333335</v>
      </c>
      <c r="AY309" s="308"/>
      <c r="AZ309" s="10"/>
      <c r="BA309" s="65">
        <f t="shared" si="272"/>
        <v>1844464</v>
      </c>
      <c r="BB309" s="66"/>
      <c r="BC309" s="66">
        <v>277449329</v>
      </c>
      <c r="BD309" s="66"/>
      <c r="BE309" s="66">
        <f t="shared" si="273"/>
        <v>238073</v>
      </c>
      <c r="BF309" s="66"/>
      <c r="BG309" s="144">
        <f t="shared" si="274"/>
        <v>0.12907435439238715</v>
      </c>
      <c r="BH309" s="66"/>
      <c r="BI309" s="170"/>
      <c r="BJ309" s="66"/>
      <c r="BK309" s="66">
        <f t="shared" si="275"/>
        <v>13913311</v>
      </c>
      <c r="BL309" s="66"/>
      <c r="BM309" s="144">
        <f t="shared" si="276"/>
        <v>0.12416483754298312</v>
      </c>
      <c r="BN309" s="65">
        <f t="shared" si="277"/>
        <v>924831.09666666668</v>
      </c>
      <c r="BO309" s="66"/>
      <c r="BP309" s="66">
        <f t="shared" si="278"/>
        <v>22700182</v>
      </c>
      <c r="BQ309" s="66"/>
      <c r="BR309" s="435">
        <f t="shared" si="283"/>
        <v>8.181739736699814E-2</v>
      </c>
      <c r="BS309" s="66"/>
      <c r="BT309" s="75"/>
      <c r="BU309" s="170"/>
      <c r="BV309" s="1"/>
      <c r="BW309" s="61">
        <f t="shared" si="189"/>
        <v>300</v>
      </c>
    </row>
    <row r="310" spans="2:75" x14ac:dyDescent="0.3">
      <c r="B310" s="158">
        <f t="shared" si="163"/>
        <v>44210</v>
      </c>
      <c r="C310" s="61"/>
      <c r="D310" s="17">
        <v>234419</v>
      </c>
      <c r="E310" s="16"/>
      <c r="F310" s="16"/>
      <c r="G310" s="16"/>
      <c r="H310" s="16">
        <f t="shared" si="259"/>
        <v>23841579</v>
      </c>
      <c r="I310" s="16"/>
      <c r="J310" s="436">
        <f t="shared" si="260"/>
        <v>9.9299958148290606E-3</v>
      </c>
      <c r="K310" s="16"/>
      <c r="L310" s="16"/>
      <c r="M310" s="16"/>
      <c r="N310" s="16">
        <f t="shared" si="280"/>
        <v>1687773</v>
      </c>
      <c r="O310" s="16">
        <f t="shared" si="261"/>
        <v>79207.903654485053</v>
      </c>
      <c r="P310" s="41"/>
      <c r="Q310" s="17">
        <f t="shared" si="281"/>
        <v>1687773</v>
      </c>
      <c r="R310" s="16"/>
      <c r="S310" s="60">
        <f t="shared" si="282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62"/>
        <v>397767</v>
      </c>
      <c r="AB310" s="33"/>
      <c r="AC310" s="46">
        <f t="shared" si="263"/>
        <v>1.668375236388496E-2</v>
      </c>
      <c r="AD310" s="33"/>
      <c r="AE310" s="33">
        <f t="shared" si="264"/>
        <v>1321.4850498338869</v>
      </c>
      <c r="AF310" s="50"/>
      <c r="AG310" s="33">
        <f t="shared" si="265"/>
        <v>23551</v>
      </c>
      <c r="AH310" s="33">
        <f t="shared" si="266"/>
        <v>1136071092.060914</v>
      </c>
      <c r="AI310" s="213">
        <f t="shared" si="267"/>
        <v>0.2009076538677273</v>
      </c>
      <c r="AJ310" s="50"/>
      <c r="AK310" s="10"/>
      <c r="AL310" s="23">
        <f t="shared" si="268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9"/>
        <v>9.8089003248142785E-3</v>
      </c>
      <c r="AS310" s="25"/>
      <c r="AT310" s="25"/>
      <c r="AU310" s="24"/>
      <c r="AV310" s="298">
        <f t="shared" si="270"/>
        <v>0.59191310273535158</v>
      </c>
      <c r="AW310" s="298"/>
      <c r="AX310" s="24">
        <f t="shared" si="271"/>
        <v>46884.196013289038</v>
      </c>
      <c r="AY310" s="308"/>
      <c r="AZ310" s="10"/>
      <c r="BA310" s="65">
        <f t="shared" si="272"/>
        <v>2024424</v>
      </c>
      <c r="BB310" s="66"/>
      <c r="BC310" s="66">
        <v>279473753</v>
      </c>
      <c r="BD310" s="66"/>
      <c r="BE310" s="66">
        <f t="shared" si="273"/>
        <v>234419</v>
      </c>
      <c r="BF310" s="66"/>
      <c r="BG310" s="144">
        <f t="shared" si="274"/>
        <v>0.1157954064958724</v>
      </c>
      <c r="BH310" s="66"/>
      <c r="BI310" s="170"/>
      <c r="BJ310" s="66"/>
      <c r="BK310" s="66">
        <f t="shared" si="275"/>
        <v>14028890</v>
      </c>
      <c r="BL310" s="66"/>
      <c r="BM310" s="144">
        <f t="shared" si="276"/>
        <v>0.12030695229629713</v>
      </c>
      <c r="BN310" s="65">
        <f t="shared" si="277"/>
        <v>928484.22923588043</v>
      </c>
      <c r="BO310" s="66"/>
      <c r="BP310" s="66">
        <f t="shared" si="278"/>
        <v>22934601</v>
      </c>
      <c r="BQ310" s="66"/>
      <c r="BR310" s="435">
        <f t="shared" si="283"/>
        <v>8.206352386873339E-2</v>
      </c>
      <c r="BS310" s="66"/>
      <c r="BT310" s="75"/>
      <c r="BU310" s="170"/>
      <c r="BV310" s="1"/>
      <c r="BW310" s="61">
        <f t="shared" si="189"/>
        <v>301</v>
      </c>
    </row>
    <row r="311" spans="2:75" x14ac:dyDescent="0.3">
      <c r="B311" s="158">
        <f t="shared" si="163"/>
        <v>44211</v>
      </c>
      <c r="C311" s="61"/>
      <c r="D311" s="17">
        <v>248806</v>
      </c>
      <c r="E311" s="16"/>
      <c r="F311" s="16"/>
      <c r="G311" s="16"/>
      <c r="H311" s="16">
        <f t="shared" si="259"/>
        <v>24090385</v>
      </c>
      <c r="I311" s="16"/>
      <c r="J311" s="436">
        <f t="shared" si="260"/>
        <v>1.0435802091799373E-2</v>
      </c>
      <c r="K311" s="16"/>
      <c r="L311" s="16"/>
      <c r="M311" s="16"/>
      <c r="N311" s="16">
        <f t="shared" si="280"/>
        <v>1630130</v>
      </c>
      <c r="O311" s="16">
        <f t="shared" si="261"/>
        <v>79769.486754966885</v>
      </c>
      <c r="P311" s="41"/>
      <c r="Q311" s="17">
        <f t="shared" si="281"/>
        <v>1630130</v>
      </c>
      <c r="R311" s="16"/>
      <c r="S311" s="60">
        <f t="shared" si="282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62"/>
        <v>401584</v>
      </c>
      <c r="AB311" s="33"/>
      <c r="AC311" s="46">
        <f t="shared" si="263"/>
        <v>1.666988717697953E-2</v>
      </c>
      <c r="AD311" s="33"/>
      <c r="AE311" s="33">
        <f t="shared" si="264"/>
        <v>1329.7483443708609</v>
      </c>
      <c r="AF311" s="50"/>
      <c r="AG311" s="33">
        <f t="shared" si="265"/>
        <v>23399</v>
      </c>
      <c r="AH311" s="33">
        <f t="shared" si="266"/>
        <v>1135820919.060914</v>
      </c>
      <c r="AI311" s="213">
        <f t="shared" si="267"/>
        <v>9.0811617174024514E-2</v>
      </c>
      <c r="AJ311" s="50"/>
      <c r="AK311" s="10"/>
      <c r="AL311" s="23">
        <f t="shared" si="268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9"/>
        <v>8.2784025076843397E-3</v>
      </c>
      <c r="AS311" s="25"/>
      <c r="AT311" s="25"/>
      <c r="AU311" s="24"/>
      <c r="AV311" s="298">
        <f t="shared" si="270"/>
        <v>0.59064929846492698</v>
      </c>
      <c r="AW311" s="298"/>
      <c r="AX311" s="24">
        <f t="shared" si="271"/>
        <v>47115.791390728475</v>
      </c>
      <c r="AY311" s="308"/>
      <c r="AZ311" s="10"/>
      <c r="BA311" s="65">
        <f t="shared" si="272"/>
        <v>2336132</v>
      </c>
      <c r="BB311" s="66"/>
      <c r="BC311" s="66">
        <v>281809885</v>
      </c>
      <c r="BD311" s="66"/>
      <c r="BE311" s="66">
        <f t="shared" si="273"/>
        <v>248806</v>
      </c>
      <c r="BF311" s="66"/>
      <c r="BG311" s="144">
        <f t="shared" si="274"/>
        <v>0.10650339963666437</v>
      </c>
      <c r="BH311" s="66"/>
      <c r="BI311" s="170"/>
      <c r="BJ311" s="66"/>
      <c r="BK311" s="66">
        <f t="shared" si="275"/>
        <v>14296837</v>
      </c>
      <c r="BL311" s="66"/>
      <c r="BM311" s="144">
        <f t="shared" si="276"/>
        <v>0.11402032491522425</v>
      </c>
      <c r="BN311" s="65">
        <f t="shared" si="277"/>
        <v>933145.31456953648</v>
      </c>
      <c r="BO311" s="66"/>
      <c r="BP311" s="66">
        <f t="shared" si="278"/>
        <v>23183407</v>
      </c>
      <c r="BQ311" s="66"/>
      <c r="BR311" s="435">
        <f t="shared" si="283"/>
        <v>8.2266124199298407E-2</v>
      </c>
      <c r="BS311" s="66"/>
      <c r="BT311" s="75"/>
      <c r="BU311" s="170"/>
      <c r="BV311" s="1"/>
      <c r="BW311" s="61">
        <f t="shared" si="189"/>
        <v>302</v>
      </c>
    </row>
    <row r="312" spans="2:75" x14ac:dyDescent="0.3">
      <c r="B312" s="158">
        <f t="shared" si="163"/>
        <v>44212</v>
      </c>
      <c r="C312" s="61"/>
      <c r="D312" s="17">
        <v>202767</v>
      </c>
      <c r="E312" s="16"/>
      <c r="F312" s="16"/>
      <c r="G312" s="16"/>
      <c r="H312" s="16">
        <f t="shared" si="259"/>
        <v>24293152</v>
      </c>
      <c r="I312" s="16"/>
      <c r="J312" s="436">
        <f t="shared" si="260"/>
        <v>8.4169265040803624E-3</v>
      </c>
      <c r="K312" s="16"/>
      <c r="L312" s="16"/>
      <c r="M312" s="16"/>
      <c r="N312" s="16">
        <f t="shared" si="280"/>
        <v>1583203</v>
      </c>
      <c r="O312" s="16">
        <f t="shared" si="261"/>
        <v>80175.419141914186</v>
      </c>
      <c r="P312" s="41"/>
      <c r="Q312" s="17">
        <f t="shared" si="281"/>
        <v>1583203</v>
      </c>
      <c r="R312" s="16"/>
      <c r="S312" s="60">
        <f t="shared" si="282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62"/>
        <v>404961</v>
      </c>
      <c r="AB312" s="33"/>
      <c r="AC312" s="46">
        <f t="shared" si="263"/>
        <v>1.6669759444966219E-2</v>
      </c>
      <c r="AD312" s="33"/>
      <c r="AE312" s="33">
        <f t="shared" si="264"/>
        <v>1336.5049504950496</v>
      </c>
      <c r="AF312" s="50"/>
      <c r="AG312" s="33">
        <f t="shared" si="265"/>
        <v>23538</v>
      </c>
      <c r="AH312" s="33">
        <f t="shared" si="266"/>
        <v>1135583047.060914</v>
      </c>
      <c r="AI312" s="213">
        <f t="shared" si="267"/>
        <v>4.2334602780975998E-2</v>
      </c>
      <c r="AJ312" s="50"/>
      <c r="AK312" s="10"/>
      <c r="AL312" s="23">
        <f t="shared" si="268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9"/>
        <v>8.0592627617643974E-3</v>
      </c>
      <c r="AS312" s="25"/>
      <c r="AT312" s="25"/>
      <c r="AU312" s="24"/>
      <c r="AV312" s="298">
        <f t="shared" si="270"/>
        <v>0.5904398078931874</v>
      </c>
      <c r="AW312" s="298"/>
      <c r="AX312" s="24">
        <f t="shared" si="271"/>
        <v>47338.75907590759</v>
      </c>
      <c r="AY312" s="308"/>
      <c r="AZ312" s="10"/>
      <c r="BA312" s="65">
        <f t="shared" si="272"/>
        <v>1943241</v>
      </c>
      <c r="BB312" s="66"/>
      <c r="BC312" s="66">
        <v>283753126</v>
      </c>
      <c r="BD312" s="66"/>
      <c r="BE312" s="66">
        <f t="shared" si="273"/>
        <v>202767</v>
      </c>
      <c r="BF312" s="66"/>
      <c r="BG312" s="144">
        <f t="shared" si="274"/>
        <v>0.10434475188615308</v>
      </c>
      <c r="BH312" s="66"/>
      <c r="BI312" s="170"/>
      <c r="BJ312" s="66"/>
      <c r="BK312" s="66">
        <f t="shared" si="275"/>
        <v>14233302</v>
      </c>
      <c r="BL312" s="66"/>
      <c r="BM312" s="144">
        <f t="shared" si="276"/>
        <v>0.11123230575730073</v>
      </c>
      <c r="BN312" s="65">
        <f t="shared" si="277"/>
        <v>936478.96369636967</v>
      </c>
      <c r="BO312" s="66"/>
      <c r="BP312" s="66">
        <f t="shared" si="278"/>
        <v>23386174</v>
      </c>
      <c r="BQ312" s="66"/>
      <c r="BR312" s="435">
        <f t="shared" si="283"/>
        <v>8.2417326390969881E-2</v>
      </c>
      <c r="BS312" s="66"/>
      <c r="BT312" s="75"/>
      <c r="BU312" s="170"/>
      <c r="BV312" s="1"/>
      <c r="BW312" s="61">
        <f t="shared" si="189"/>
        <v>303</v>
      </c>
    </row>
    <row r="313" spans="2:75" x14ac:dyDescent="0.3">
      <c r="B313" s="347">
        <f t="shared" si="163"/>
        <v>44213</v>
      </c>
      <c r="C313" s="61"/>
      <c r="D313" s="17">
        <v>174560</v>
      </c>
      <c r="E313" s="16"/>
      <c r="F313" s="16"/>
      <c r="G313" s="16"/>
      <c r="H313" s="16">
        <f t="shared" si="259"/>
        <v>24467712</v>
      </c>
      <c r="I313" s="16"/>
      <c r="J313" s="436">
        <f t="shared" si="260"/>
        <v>7.1855640634858747E-3</v>
      </c>
      <c r="K313" s="16"/>
      <c r="L313" s="16"/>
      <c r="M313" s="16"/>
      <c r="N313" s="16">
        <f t="shared" si="280"/>
        <v>1536936</v>
      </c>
      <c r="O313" s="16">
        <f t="shared" si="261"/>
        <v>80485.894736842107</v>
      </c>
      <c r="P313" s="41"/>
      <c r="Q313" s="17">
        <f t="shared" si="281"/>
        <v>1536936</v>
      </c>
      <c r="R313" s="16"/>
      <c r="S313" s="60">
        <f t="shared" si="282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62"/>
        <v>406807</v>
      </c>
      <c r="AB313" s="33"/>
      <c r="AC313" s="46">
        <f t="shared" si="263"/>
        <v>1.6626278746455739E-2</v>
      </c>
      <c r="AD313" s="33"/>
      <c r="AE313" s="33">
        <f t="shared" si="264"/>
        <v>1338.1809210526317</v>
      </c>
      <c r="AF313" s="50"/>
      <c r="AG313" s="33">
        <f t="shared" si="265"/>
        <v>23522</v>
      </c>
      <c r="AH313" s="33">
        <f t="shared" si="266"/>
        <v>1135328367.060914</v>
      </c>
      <c r="AI313" s="213">
        <f t="shared" si="267"/>
        <v>2.0167411198334564E-2</v>
      </c>
      <c r="AJ313" s="50"/>
      <c r="AK313" s="10"/>
      <c r="AL313" s="23">
        <f t="shared" si="268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9"/>
        <v>5.9055425525061829E-3</v>
      </c>
      <c r="AS313" s="25"/>
      <c r="AT313" s="25"/>
      <c r="AU313" s="24"/>
      <c r="AV313" s="298">
        <f t="shared" si="270"/>
        <v>0.58968942416847148</v>
      </c>
      <c r="AW313" s="298"/>
      <c r="AX313" s="24">
        <f t="shared" si="271"/>
        <v>47461.680921052633</v>
      </c>
      <c r="AY313" s="308"/>
      <c r="AZ313" s="10"/>
      <c r="BA313" s="65">
        <f t="shared" si="272"/>
        <v>1940413</v>
      </c>
      <c r="BB313" s="66"/>
      <c r="BC313" s="66">
        <v>285693539</v>
      </c>
      <c r="BD313" s="66"/>
      <c r="BE313" s="66">
        <f t="shared" si="273"/>
        <v>174560</v>
      </c>
      <c r="BF313" s="66"/>
      <c r="BG313" s="144">
        <f t="shared" si="274"/>
        <v>8.9960230115959855E-2</v>
      </c>
      <c r="BH313" s="66"/>
      <c r="BI313" s="170"/>
      <c r="BJ313" s="66"/>
      <c r="BK313" s="66">
        <f t="shared" si="275"/>
        <v>14693539</v>
      </c>
      <c r="BL313" s="66"/>
      <c r="BM313" s="144">
        <f t="shared" si="276"/>
        <v>0.10459944333356314</v>
      </c>
      <c r="BN313" s="65">
        <f t="shared" si="277"/>
        <v>939781.37828947371</v>
      </c>
      <c r="BO313" s="66"/>
      <c r="BP313" s="66">
        <f t="shared" si="278"/>
        <v>23560734</v>
      </c>
      <c r="BQ313" s="66"/>
      <c r="BR313" s="435">
        <f t="shared" si="283"/>
        <v>8.2468557330587722E-2</v>
      </c>
      <c r="BS313" s="66"/>
      <c r="BT313" s="75"/>
      <c r="BU313" s="170"/>
      <c r="BV313" s="1"/>
      <c r="BW313" s="61">
        <f t="shared" si="189"/>
        <v>304</v>
      </c>
    </row>
    <row r="314" spans="2:75" x14ac:dyDescent="0.3">
      <c r="B314" s="158">
        <f t="shared" si="163"/>
        <v>44214</v>
      </c>
      <c r="C314" s="61"/>
      <c r="D314" s="17">
        <v>149328</v>
      </c>
      <c r="E314" s="16"/>
      <c r="F314" s="16"/>
      <c r="G314" s="16"/>
      <c r="H314" s="16">
        <f t="shared" si="259"/>
        <v>24617040</v>
      </c>
      <c r="I314" s="16"/>
      <c r="J314" s="436">
        <f t="shared" si="260"/>
        <v>6.1030634985404439E-3</v>
      </c>
      <c r="K314" s="16"/>
      <c r="L314" s="16"/>
      <c r="M314" s="16"/>
      <c r="N314" s="16">
        <f t="shared" si="280"/>
        <v>1471581</v>
      </c>
      <c r="O314" s="16">
        <f t="shared" si="261"/>
        <v>80711.606557377047</v>
      </c>
      <c r="P314" s="41"/>
      <c r="Q314" s="17">
        <f t="shared" si="281"/>
        <v>1471581</v>
      </c>
      <c r="R314" s="16"/>
      <c r="S314" s="60">
        <f t="shared" si="282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62"/>
        <v>408309</v>
      </c>
      <c r="AB314" s="33"/>
      <c r="AC314" s="46">
        <f t="shared" si="263"/>
        <v>1.6586437687065546E-2</v>
      </c>
      <c r="AD314" s="33"/>
      <c r="AE314" s="33">
        <f t="shared" si="264"/>
        <v>1338.7180327868853</v>
      </c>
      <c r="AF314" s="50"/>
      <c r="AG314" s="33">
        <f t="shared" si="265"/>
        <v>23060</v>
      </c>
      <c r="AH314" s="33">
        <f t="shared" si="266"/>
        <v>1135138717.060914</v>
      </c>
      <c r="AI314" s="213">
        <f t="shared" si="267"/>
        <v>1.0418475429762111E-3</v>
      </c>
      <c r="AJ314" s="50"/>
      <c r="AK314" s="10"/>
      <c r="AL314" s="23">
        <f t="shared" si="268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9"/>
        <v>8.1062624550788925E-3</v>
      </c>
      <c r="AS314" s="25"/>
      <c r="AT314" s="25"/>
      <c r="AU314" s="24"/>
      <c r="AV314" s="298">
        <f t="shared" si="270"/>
        <v>0.5908635238030242</v>
      </c>
      <c r="AW314" s="298"/>
      <c r="AX314" s="24">
        <f t="shared" si="271"/>
        <v>47689.54426229508</v>
      </c>
      <c r="AY314" s="308"/>
      <c r="AZ314" s="10"/>
      <c r="BA314" s="65">
        <f t="shared" si="272"/>
        <v>2081676</v>
      </c>
      <c r="BB314" s="66"/>
      <c r="BC314" s="66">
        <v>287775215</v>
      </c>
      <c r="BD314" s="66"/>
      <c r="BE314" s="66">
        <f t="shared" si="273"/>
        <v>149328</v>
      </c>
      <c r="BF314" s="66"/>
      <c r="BG314" s="144">
        <f t="shared" si="274"/>
        <v>7.1734506234399587E-2</v>
      </c>
      <c r="BH314" s="66"/>
      <c r="BI314" s="170"/>
      <c r="BJ314" s="66"/>
      <c r="BK314" s="66">
        <f t="shared" si="275"/>
        <v>14378208</v>
      </c>
      <c r="BL314" s="66"/>
      <c r="BM314" s="144">
        <f t="shared" si="276"/>
        <v>0.1023480116576419</v>
      </c>
      <c r="BN314" s="65">
        <f t="shared" si="277"/>
        <v>943525.29508196726</v>
      </c>
      <c r="BO314" s="66"/>
      <c r="BP314" s="66">
        <f t="shared" si="278"/>
        <v>23710062</v>
      </c>
      <c r="BQ314" s="66"/>
      <c r="BR314" s="435">
        <f t="shared" si="283"/>
        <v>8.2390910558437072E-2</v>
      </c>
      <c r="BS314" s="66"/>
      <c r="BT314" s="75"/>
      <c r="BU314" s="170"/>
      <c r="BV314" s="1"/>
      <c r="BW314" s="61">
        <f t="shared" si="189"/>
        <v>305</v>
      </c>
    </row>
    <row r="315" spans="2:75" x14ac:dyDescent="0.3">
      <c r="B315" s="158">
        <f t="shared" si="163"/>
        <v>44215</v>
      </c>
      <c r="C315" s="61"/>
      <c r="D315" s="17">
        <v>174378</v>
      </c>
      <c r="E315" s="16"/>
      <c r="F315" s="16"/>
      <c r="G315" s="16"/>
      <c r="H315" s="16">
        <f t="shared" si="259"/>
        <v>24791418</v>
      </c>
      <c r="I315" s="16"/>
      <c r="J315" s="436">
        <f t="shared" si="260"/>
        <v>7.0836298758908461E-3</v>
      </c>
      <c r="K315" s="16"/>
      <c r="L315" s="16"/>
      <c r="M315" s="16"/>
      <c r="N315" s="16">
        <f t="shared" si="280"/>
        <v>1422331</v>
      </c>
      <c r="O315" s="16">
        <f t="shared" si="261"/>
        <v>81017.705882352937</v>
      </c>
      <c r="P315" s="41"/>
      <c r="Q315" s="17">
        <f t="shared" si="281"/>
        <v>1422331</v>
      </c>
      <c r="R315" s="16"/>
      <c r="S315" s="60">
        <f t="shared" si="282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62"/>
        <v>411111</v>
      </c>
      <c r="AB315" s="33"/>
      <c r="AC315" s="46">
        <f t="shared" si="263"/>
        <v>1.6582794901041965E-2</v>
      </c>
      <c r="AD315" s="33"/>
      <c r="AE315" s="33">
        <f t="shared" si="264"/>
        <v>1343.5</v>
      </c>
      <c r="AF315" s="50"/>
      <c r="AG315" s="33">
        <f t="shared" si="265"/>
        <v>21581</v>
      </c>
      <c r="AH315" s="33">
        <f t="shared" si="266"/>
        <v>1134950437.060914</v>
      </c>
      <c r="AI315" s="213">
        <f t="shared" si="267"/>
        <v>-8.3531510107015455E-2</v>
      </c>
      <c r="AJ315" s="50"/>
      <c r="AK315" s="10"/>
      <c r="AL315" s="23">
        <f t="shared" si="268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9"/>
        <v>1.6608445154593119E-2</v>
      </c>
      <c r="AS315" s="25"/>
      <c r="AT315" s="25"/>
      <c r="AU315" s="24"/>
      <c r="AV315" s="298">
        <f t="shared" si="270"/>
        <v>0.59645180441070378</v>
      </c>
      <c r="AW315" s="298"/>
      <c r="AX315" s="24">
        <f t="shared" si="271"/>
        <v>48323.156862745098</v>
      </c>
      <c r="AY315" s="308"/>
      <c r="AZ315" s="10"/>
      <c r="BA315" s="65">
        <f t="shared" si="272"/>
        <v>2023737</v>
      </c>
      <c r="BB315" s="66"/>
      <c r="BC315" s="66">
        <v>289798952</v>
      </c>
      <c r="BD315" s="66"/>
      <c r="BE315" s="66">
        <f t="shared" si="273"/>
        <v>174378</v>
      </c>
      <c r="BF315" s="66"/>
      <c r="BG315" s="144">
        <f t="shared" si="274"/>
        <v>8.6166334854776094E-2</v>
      </c>
      <c r="BH315" s="66"/>
      <c r="BI315" s="170"/>
      <c r="BJ315" s="66"/>
      <c r="BK315" s="66">
        <f t="shared" si="275"/>
        <v>14194087</v>
      </c>
      <c r="BL315" s="66"/>
      <c r="BM315" s="144">
        <f t="shared" si="276"/>
        <v>0.1002058815054466</v>
      </c>
      <c r="BN315" s="65">
        <f t="shared" si="277"/>
        <v>947055.39869281044</v>
      </c>
      <c r="BO315" s="66"/>
      <c r="BP315" s="66">
        <f t="shared" si="278"/>
        <v>23884440</v>
      </c>
      <c r="BQ315" s="66"/>
      <c r="BR315" s="435">
        <f t="shared" si="283"/>
        <v>8.2417275270201804E-2</v>
      </c>
      <c r="BS315" s="66"/>
      <c r="BT315" s="75"/>
      <c r="BU315" s="170"/>
      <c r="BV315" s="1"/>
      <c r="BW315" s="61">
        <f t="shared" si="189"/>
        <v>306</v>
      </c>
    </row>
    <row r="316" spans="2:75" x14ac:dyDescent="0.3">
      <c r="B316" s="158">
        <f t="shared" si="163"/>
        <v>44216</v>
      </c>
      <c r="C316" s="61"/>
      <c r="D316" s="17">
        <v>190081</v>
      </c>
      <c r="E316" s="16"/>
      <c r="F316" s="16"/>
      <c r="G316" s="16"/>
      <c r="H316" s="16">
        <f t="shared" si="259"/>
        <v>24981499</v>
      </c>
      <c r="I316" s="16"/>
      <c r="J316" s="436">
        <f t="shared" si="260"/>
        <v>7.6672096771552159E-3</v>
      </c>
      <c r="K316" s="16"/>
      <c r="L316" s="16"/>
      <c r="M316" s="16"/>
      <c r="N316" s="16">
        <f t="shared" si="280"/>
        <v>1374339</v>
      </c>
      <c r="O316" s="16">
        <f t="shared" si="261"/>
        <v>81372.96091205212</v>
      </c>
      <c r="P316" s="41"/>
      <c r="Q316" s="17">
        <f t="shared" si="281"/>
        <v>1374339</v>
      </c>
      <c r="R316" s="16"/>
      <c r="S316" s="60">
        <f t="shared" si="282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62"/>
        <v>415505</v>
      </c>
      <c r="AB316" s="33"/>
      <c r="AC316" s="46">
        <f t="shared" si="263"/>
        <v>1.6632508721754449E-2</v>
      </c>
      <c r="AD316" s="33"/>
      <c r="AE316" s="33">
        <f t="shared" si="264"/>
        <v>1353.4364820846906</v>
      </c>
      <c r="AF316" s="50"/>
      <c r="AG316" s="33">
        <f t="shared" si="265"/>
        <v>21880</v>
      </c>
      <c r="AH316" s="33">
        <f t="shared" si="266"/>
        <v>1134750328.060914</v>
      </c>
      <c r="AI316" s="213">
        <f t="shared" si="267"/>
        <v>-7.0636707301533361E-2</v>
      </c>
      <c r="AJ316" s="50"/>
      <c r="AK316" s="10"/>
      <c r="AL316" s="23">
        <f t="shared" si="268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9"/>
        <v>1.2623617981500634E-2</v>
      </c>
      <c r="AS316" s="25"/>
      <c r="AT316" s="25"/>
      <c r="AU316" s="24"/>
      <c r="AV316" s="298">
        <f t="shared" si="270"/>
        <v>0.59938556929670228</v>
      </c>
      <c r="AW316" s="298"/>
      <c r="AX316" s="24">
        <f t="shared" si="271"/>
        <v>48773.778501628665</v>
      </c>
      <c r="AY316" s="308"/>
      <c r="AZ316" s="10"/>
      <c r="BA316" s="65">
        <f t="shared" si="272"/>
        <v>1779241</v>
      </c>
      <c r="BB316" s="66"/>
      <c r="BC316" s="66">
        <v>291578193</v>
      </c>
      <c r="BD316" s="66"/>
      <c r="BE316" s="66">
        <f t="shared" si="273"/>
        <v>190081</v>
      </c>
      <c r="BF316" s="66"/>
      <c r="BG316" s="144">
        <f t="shared" si="274"/>
        <v>0.10683263256635835</v>
      </c>
      <c r="BH316" s="66"/>
      <c r="BI316" s="170"/>
      <c r="BJ316" s="66"/>
      <c r="BK316" s="66">
        <f t="shared" si="275"/>
        <v>14128864</v>
      </c>
      <c r="BL316" s="66"/>
      <c r="BM316" s="144">
        <f t="shared" si="276"/>
        <v>9.7271726870610406E-2</v>
      </c>
      <c r="BN316" s="65">
        <f t="shared" si="277"/>
        <v>949766.10097719869</v>
      </c>
      <c r="BO316" s="66"/>
      <c r="BP316" s="66">
        <f t="shared" si="278"/>
        <v>24074521</v>
      </c>
      <c r="BQ316" s="66"/>
      <c r="BR316" s="435">
        <f t="shared" si="283"/>
        <v>8.2566260365019822E-2</v>
      </c>
      <c r="BS316" s="66"/>
      <c r="BT316" s="75"/>
      <c r="BU316" s="170"/>
      <c r="BV316" s="1"/>
      <c r="BW316" s="61">
        <f t="shared" si="189"/>
        <v>307</v>
      </c>
    </row>
    <row r="317" spans="2:75" x14ac:dyDescent="0.3">
      <c r="B317" s="158">
        <f t="shared" si="163"/>
        <v>44217</v>
      </c>
      <c r="C317" s="61"/>
      <c r="D317" s="17">
        <v>193758</v>
      </c>
      <c r="E317" s="16"/>
      <c r="F317" s="16"/>
      <c r="G317" s="16"/>
      <c r="H317" s="16">
        <f t="shared" si="259"/>
        <v>25175257</v>
      </c>
      <c r="I317" s="16"/>
      <c r="J317" s="436">
        <f t="shared" si="260"/>
        <v>7.7560597944903147E-3</v>
      </c>
      <c r="K317" s="16"/>
      <c r="L317" s="16"/>
      <c r="M317" s="16"/>
      <c r="N317" s="16">
        <f t="shared" si="280"/>
        <v>1333678</v>
      </c>
      <c r="O317" s="16">
        <f t="shared" si="261"/>
        <v>81737.847402597399</v>
      </c>
      <c r="P317" s="41"/>
      <c r="Q317" s="17">
        <f t="shared" si="281"/>
        <v>1333678</v>
      </c>
      <c r="R317" s="16"/>
      <c r="S317" s="60">
        <f t="shared" si="282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62"/>
        <v>419868</v>
      </c>
      <c r="AB317" s="33"/>
      <c r="AC317" s="46">
        <f t="shared" si="263"/>
        <v>1.6677803924702736E-2</v>
      </c>
      <c r="AD317" s="33"/>
      <c r="AE317" s="33">
        <f t="shared" si="264"/>
        <v>1363.2077922077922</v>
      </c>
      <c r="AF317" s="50"/>
      <c r="AG317" s="33">
        <f t="shared" si="265"/>
        <v>22101</v>
      </c>
      <c r="AH317" s="33">
        <f t="shared" si="266"/>
        <v>1134551248.060914</v>
      </c>
      <c r="AI317" s="213">
        <f t="shared" si="267"/>
        <v>-6.1568510891257269E-2</v>
      </c>
      <c r="AJ317" s="50"/>
      <c r="AK317" s="10"/>
      <c r="AL317" s="23">
        <f t="shared" si="268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9"/>
        <v>8.5110745280845227E-3</v>
      </c>
      <c r="AS317" s="25"/>
      <c r="AT317" s="25"/>
      <c r="AU317" s="24"/>
      <c r="AV317" s="298">
        <f t="shared" si="270"/>
        <v>0.59983463128102332</v>
      </c>
      <c r="AW317" s="298"/>
      <c r="AX317" s="24">
        <f t="shared" si="271"/>
        <v>49029.191558441562</v>
      </c>
      <c r="AY317" s="308"/>
      <c r="AZ317" s="10"/>
      <c r="BA317" s="65">
        <f t="shared" si="272"/>
        <v>1984381</v>
      </c>
      <c r="BB317" s="66"/>
      <c r="BC317" s="66">
        <v>293562574</v>
      </c>
      <c r="BD317" s="66"/>
      <c r="BE317" s="66">
        <f t="shared" si="273"/>
        <v>193758</v>
      </c>
      <c r="BF317" s="66"/>
      <c r="BG317" s="144">
        <f t="shared" si="274"/>
        <v>9.7641531540566054E-2</v>
      </c>
      <c r="BH317" s="66"/>
      <c r="BI317" s="170"/>
      <c r="BJ317" s="66"/>
      <c r="BK317" s="66">
        <f t="shared" si="275"/>
        <v>14088821</v>
      </c>
      <c r="BL317" s="66"/>
      <c r="BM317" s="144">
        <f t="shared" si="276"/>
        <v>9.4662143837301926E-2</v>
      </c>
      <c r="BN317" s="65">
        <f t="shared" si="277"/>
        <v>953125.24025974027</v>
      </c>
      <c r="BO317" s="66"/>
      <c r="BP317" s="66">
        <f t="shared" si="278"/>
        <v>24268279</v>
      </c>
      <c r="BQ317" s="66"/>
      <c r="BR317" s="435">
        <f t="shared" si="283"/>
        <v>8.2668163960164756E-2</v>
      </c>
      <c r="BS317" s="66"/>
      <c r="BT317" s="75"/>
      <c r="BU317" s="170"/>
      <c r="BV317" s="1"/>
      <c r="BW317" s="61">
        <f t="shared" si="189"/>
        <v>308</v>
      </c>
    </row>
    <row r="318" spans="2:75" x14ac:dyDescent="0.3">
      <c r="B318" s="158">
        <f t="shared" si="163"/>
        <v>44218</v>
      </c>
      <c r="C318" s="61"/>
      <c r="D318" s="17">
        <v>192065</v>
      </c>
      <c r="E318" s="16"/>
      <c r="F318" s="16"/>
      <c r="G318" s="16"/>
      <c r="H318" s="16">
        <f t="shared" si="259"/>
        <v>25367322</v>
      </c>
      <c r="I318" s="16"/>
      <c r="J318" s="436">
        <f t="shared" si="260"/>
        <v>7.6291177484305323E-3</v>
      </c>
      <c r="K318" s="16"/>
      <c r="L318" s="16"/>
      <c r="M318" s="16"/>
      <c r="N318" s="16">
        <f t="shared" si="280"/>
        <v>1276937</v>
      </c>
      <c r="O318" s="16">
        <f t="shared" si="261"/>
        <v>82094.89320388349</v>
      </c>
      <c r="P318" s="41"/>
      <c r="Q318" s="17">
        <f t="shared" si="281"/>
        <v>1276937</v>
      </c>
      <c r="R318" s="16"/>
      <c r="S318" s="60">
        <f t="shared" si="282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62"/>
        <v>423754</v>
      </c>
      <c r="AB318" s="33"/>
      <c r="AC318" s="46">
        <f t="shared" si="263"/>
        <v>1.6704719560070237E-2</v>
      </c>
      <c r="AD318" s="33"/>
      <c r="AE318" s="33">
        <f t="shared" si="264"/>
        <v>1371.3721682847897</v>
      </c>
      <c r="AF318" s="50"/>
      <c r="AG318" s="33">
        <f t="shared" si="265"/>
        <v>22170</v>
      </c>
      <c r="AH318" s="33">
        <f t="shared" si="266"/>
        <v>1134318906.060914</v>
      </c>
      <c r="AI318" s="213">
        <f t="shared" si="267"/>
        <v>-5.2523612120176075E-2</v>
      </c>
      <c r="AJ318" s="50"/>
      <c r="AK318" s="10"/>
      <c r="AL318" s="23">
        <f t="shared" si="268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9"/>
        <v>8.0609279218827427E-3</v>
      </c>
      <c r="AS318" s="25"/>
      <c r="AT318" s="25"/>
      <c r="AU318" s="24"/>
      <c r="AV318" s="298">
        <f t="shared" si="270"/>
        <v>0.6000916848849871</v>
      </c>
      <c r="AW318" s="298"/>
      <c r="AX318" s="24">
        <f t="shared" si="271"/>
        <v>49264.462783171519</v>
      </c>
      <c r="AY318" s="308"/>
      <c r="AZ318" s="10"/>
      <c r="BA318" s="65">
        <f t="shared" si="272"/>
        <v>1977004</v>
      </c>
      <c r="BB318" s="66"/>
      <c r="BC318" s="66">
        <v>295539578</v>
      </c>
      <c r="BD318" s="66"/>
      <c r="BE318" s="66">
        <f t="shared" si="273"/>
        <v>192065</v>
      </c>
      <c r="BF318" s="66"/>
      <c r="BG318" s="144">
        <f t="shared" si="274"/>
        <v>9.7149525241223583E-2</v>
      </c>
      <c r="BH318" s="66"/>
      <c r="BI318" s="170"/>
      <c r="BJ318" s="66"/>
      <c r="BK318" s="66">
        <f t="shared" si="275"/>
        <v>13729693</v>
      </c>
      <c r="BL318" s="66"/>
      <c r="BM318" s="144">
        <f t="shared" si="276"/>
        <v>9.3005502745035884E-2</v>
      </c>
      <c r="BN318" s="65">
        <f t="shared" si="277"/>
        <v>956438.76375404536</v>
      </c>
      <c r="BO318" s="66"/>
      <c r="BP318" s="66">
        <f t="shared" si="278"/>
        <v>24460344</v>
      </c>
      <c r="BQ318" s="66"/>
      <c r="BR318" s="435">
        <f t="shared" si="283"/>
        <v>8.2765036634111999E-2</v>
      </c>
      <c r="BS318" s="66"/>
      <c r="BT318" s="75"/>
      <c r="BU318" s="170"/>
      <c r="BV318" s="1"/>
      <c r="BW318" s="61">
        <f t="shared" si="189"/>
        <v>309</v>
      </c>
    </row>
    <row r="319" spans="2:75" x14ac:dyDescent="0.3">
      <c r="B319" s="158">
        <f t="shared" si="163"/>
        <v>44219</v>
      </c>
      <c r="C319" s="61"/>
      <c r="D319" s="17">
        <v>173067</v>
      </c>
      <c r="E319" s="16"/>
      <c r="F319" s="16"/>
      <c r="G319" s="16"/>
      <c r="H319" s="16">
        <f t="shared" si="259"/>
        <v>25540389</v>
      </c>
      <c r="I319" s="16"/>
      <c r="J319" s="436">
        <f t="shared" si="260"/>
        <v>6.8224387264844118E-3</v>
      </c>
      <c r="K319" s="16"/>
      <c r="L319" s="16"/>
      <c r="M319" s="16"/>
      <c r="N319" s="16">
        <f t="shared" si="280"/>
        <v>1247237</v>
      </c>
      <c r="O319" s="16">
        <f t="shared" si="261"/>
        <v>82388.351612903221</v>
      </c>
      <c r="P319" s="41"/>
      <c r="Q319" s="17">
        <f t="shared" si="281"/>
        <v>1247237</v>
      </c>
      <c r="R319" s="16"/>
      <c r="S319" s="60">
        <f t="shared" si="282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62"/>
        <v>427193</v>
      </c>
      <c r="AB319" s="33"/>
      <c r="AC319" s="46">
        <f t="shared" si="263"/>
        <v>1.6726174374243088E-2</v>
      </c>
      <c r="AD319" s="33"/>
      <c r="AE319" s="33">
        <f t="shared" si="264"/>
        <v>1378.0419354838709</v>
      </c>
      <c r="AF319" s="50"/>
      <c r="AG319" s="33">
        <f t="shared" si="265"/>
        <v>22232</v>
      </c>
      <c r="AH319" s="33">
        <f t="shared" si="266"/>
        <v>1134125876.060914</v>
      </c>
      <c r="AI319" s="213">
        <f t="shared" si="267"/>
        <v>-5.548474806695556E-2</v>
      </c>
      <c r="AJ319" s="50"/>
      <c r="AK319" s="10"/>
      <c r="AL319" s="23">
        <f t="shared" si="268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9"/>
        <v>7.1162057185710382E-3</v>
      </c>
      <c r="AS319" s="25"/>
      <c r="AT319" s="25"/>
      <c r="AU319" s="24"/>
      <c r="AV319" s="298">
        <f t="shared" si="270"/>
        <v>0.60026677745589541</v>
      </c>
      <c r="AW319" s="298"/>
      <c r="AX319" s="24">
        <f t="shared" si="271"/>
        <v>49454.990322580648</v>
      </c>
      <c r="AY319" s="308"/>
      <c r="AZ319" s="10"/>
      <c r="BA319" s="65">
        <f t="shared" si="272"/>
        <v>1858102</v>
      </c>
      <c r="BB319" s="66"/>
      <c r="BC319" s="66">
        <v>297397680</v>
      </c>
      <c r="BD319" s="66"/>
      <c r="BE319" s="66">
        <f t="shared" si="273"/>
        <v>173067</v>
      </c>
      <c r="BF319" s="66"/>
      <c r="BG319" s="144">
        <f t="shared" si="274"/>
        <v>9.3141818909833793E-2</v>
      </c>
      <c r="BH319" s="66"/>
      <c r="BI319" s="170"/>
      <c r="BJ319" s="66"/>
      <c r="BK319" s="66">
        <f t="shared" si="275"/>
        <v>13644554</v>
      </c>
      <c r="BL319" s="66"/>
      <c r="BM319" s="144">
        <f t="shared" si="276"/>
        <v>9.1409143897264802E-2</v>
      </c>
      <c r="BN319" s="65">
        <f t="shared" si="277"/>
        <v>959347.3548387097</v>
      </c>
      <c r="BO319" s="66"/>
      <c r="BP319" s="66">
        <f t="shared" si="278"/>
        <v>24633411</v>
      </c>
      <c r="BQ319" s="66"/>
      <c r="BR319" s="435">
        <f t="shared" si="283"/>
        <v>8.28298694192907E-2</v>
      </c>
      <c r="BS319" s="66"/>
      <c r="BT319" s="75"/>
      <c r="BU319" s="170"/>
      <c r="BV319" s="1"/>
      <c r="BW319" s="61">
        <f t="shared" si="189"/>
        <v>310</v>
      </c>
    </row>
    <row r="320" spans="2:75" x14ac:dyDescent="0.3">
      <c r="B320" s="347">
        <f t="shared" si="163"/>
        <v>44220</v>
      </c>
      <c r="C320" s="61"/>
      <c r="D320" s="17">
        <v>135182</v>
      </c>
      <c r="E320" s="16"/>
      <c r="F320" s="16"/>
      <c r="G320" s="16"/>
      <c r="H320" s="16">
        <f t="shared" si="259"/>
        <v>25675571</v>
      </c>
      <c r="I320" s="16"/>
      <c r="J320" s="436">
        <f t="shared" si="260"/>
        <v>5.2928716160117999E-3</v>
      </c>
      <c r="K320" s="16"/>
      <c r="L320" s="16"/>
      <c r="M320" s="16"/>
      <c r="N320" s="16">
        <f t="shared" si="280"/>
        <v>1207859</v>
      </c>
      <c r="O320" s="16">
        <f t="shared" si="261"/>
        <v>82558.106109324755</v>
      </c>
      <c r="P320" s="41"/>
      <c r="Q320" s="17">
        <f t="shared" si="281"/>
        <v>1207859</v>
      </c>
      <c r="R320" s="16"/>
      <c r="S320" s="60">
        <f t="shared" si="282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62"/>
        <v>429037</v>
      </c>
      <c r="AB320" s="33"/>
      <c r="AC320" s="46">
        <f t="shared" si="263"/>
        <v>1.6709930229010291E-2</v>
      </c>
      <c r="AD320" s="33"/>
      <c r="AE320" s="33">
        <f t="shared" si="264"/>
        <v>1379.5401929260449</v>
      </c>
      <c r="AF320" s="50"/>
      <c r="AG320" s="33">
        <f t="shared" si="265"/>
        <v>22230</v>
      </c>
      <c r="AH320" s="33">
        <f t="shared" si="266"/>
        <v>1134027036.060914</v>
      </c>
      <c r="AI320" s="213">
        <f t="shared" si="267"/>
        <v>-5.492730210016155E-2</v>
      </c>
      <c r="AJ320" s="50"/>
      <c r="AK320" s="10"/>
      <c r="AL320" s="23">
        <f t="shared" si="268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9"/>
        <v>5.1263295977111026E-3</v>
      </c>
      <c r="AS320" s="25"/>
      <c r="AT320" s="25"/>
      <c r="AU320" s="24"/>
      <c r="AV320" s="298">
        <f t="shared" si="270"/>
        <v>0.6001673341558792</v>
      </c>
      <c r="AW320" s="298"/>
      <c r="AX320" s="24">
        <f t="shared" si="271"/>
        <v>49548.678456591639</v>
      </c>
      <c r="AY320" s="308"/>
      <c r="AZ320" s="10"/>
      <c r="BA320" s="65">
        <f t="shared" si="272"/>
        <v>1683887</v>
      </c>
      <c r="BB320" s="66"/>
      <c r="BC320" s="66">
        <v>299081567</v>
      </c>
      <c r="BD320" s="66"/>
      <c r="BE320" s="66">
        <f t="shared" si="273"/>
        <v>135182</v>
      </c>
      <c r="BF320" s="66"/>
      <c r="BG320" s="144">
        <f t="shared" si="274"/>
        <v>8.0279733735102179E-2</v>
      </c>
      <c r="BH320" s="66"/>
      <c r="BI320" s="170"/>
      <c r="BJ320" s="66"/>
      <c r="BK320" s="66">
        <f t="shared" si="275"/>
        <v>13388028</v>
      </c>
      <c r="BL320" s="66"/>
      <c r="BM320" s="144">
        <f t="shared" si="276"/>
        <v>9.0219336260724883E-2</v>
      </c>
      <c r="BN320" s="65">
        <f t="shared" si="277"/>
        <v>961677.06430868164</v>
      </c>
      <c r="BO320" s="66"/>
      <c r="BP320" s="66">
        <f t="shared" si="278"/>
        <v>24768593</v>
      </c>
      <c r="BQ320" s="66"/>
      <c r="BR320" s="435">
        <f t="shared" si="283"/>
        <v>8.281551166274316E-2</v>
      </c>
      <c r="BS320" s="66"/>
      <c r="BT320" s="75"/>
      <c r="BU320" s="170"/>
      <c r="BV320" s="1"/>
      <c r="BW320" s="61">
        <f t="shared" si="189"/>
        <v>311</v>
      </c>
    </row>
    <row r="321" spans="2:75" x14ac:dyDescent="0.3">
      <c r="B321" s="158">
        <f t="shared" si="163"/>
        <v>44221</v>
      </c>
      <c r="C321" s="61"/>
      <c r="D321" s="17">
        <v>152244</v>
      </c>
      <c r="E321" s="16"/>
      <c r="F321" s="16"/>
      <c r="G321" s="16"/>
      <c r="H321" s="16">
        <f t="shared" si="259"/>
        <v>25827815</v>
      </c>
      <c r="I321" s="16"/>
      <c r="J321" s="436">
        <f t="shared" si="260"/>
        <v>5.9295273316414265E-3</v>
      </c>
      <c r="K321" s="16"/>
      <c r="L321" s="16"/>
      <c r="M321" s="16"/>
      <c r="N321" s="16">
        <f t="shared" si="280"/>
        <v>1210775</v>
      </c>
      <c r="O321" s="16">
        <f t="shared" si="261"/>
        <v>82781.458333333328</v>
      </c>
      <c r="P321" s="41"/>
      <c r="Q321" s="17">
        <f t="shared" si="281"/>
        <v>1210775</v>
      </c>
      <c r="R321" s="16"/>
      <c r="S321" s="60">
        <f t="shared" si="282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62"/>
        <v>430934</v>
      </c>
      <c r="AB321" s="33"/>
      <c r="AC321" s="46">
        <f t="shared" si="263"/>
        <v>1.6684880234739175E-2</v>
      </c>
      <c r="AD321" s="33"/>
      <c r="AE321" s="33">
        <f t="shared" si="264"/>
        <v>1381.198717948718</v>
      </c>
      <c r="AF321" s="50"/>
      <c r="AG321" s="33">
        <f t="shared" si="265"/>
        <v>22625</v>
      </c>
      <c r="AH321" s="33">
        <f t="shared" si="266"/>
        <v>1133866432.060914</v>
      </c>
      <c r="AI321" s="213">
        <f t="shared" si="267"/>
        <v>-1.8863833477883781E-2</v>
      </c>
      <c r="AJ321" s="50"/>
      <c r="AK321" s="10"/>
      <c r="AL321" s="23">
        <f t="shared" si="268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9"/>
        <v>1.3479939406757031E-2</v>
      </c>
      <c r="AS321" s="25"/>
      <c r="AT321" s="25"/>
      <c r="AU321" s="24"/>
      <c r="AV321" s="298">
        <f t="shared" si="270"/>
        <v>0.60467213351187465</v>
      </c>
      <c r="AW321" s="298"/>
      <c r="AX321" s="24">
        <f t="shared" si="271"/>
        <v>50055.641025641024</v>
      </c>
      <c r="AY321" s="308"/>
      <c r="AZ321" s="10"/>
      <c r="BA321" s="65">
        <f t="shared" si="272"/>
        <v>2035643</v>
      </c>
      <c r="BB321" s="66"/>
      <c r="BC321" s="66">
        <v>301117210</v>
      </c>
      <c r="BD321" s="66"/>
      <c r="BE321" s="66">
        <f t="shared" si="273"/>
        <v>152244</v>
      </c>
      <c r="BF321" s="66"/>
      <c r="BG321" s="144">
        <f t="shared" si="274"/>
        <v>7.4789145247963415E-2</v>
      </c>
      <c r="BH321" s="66"/>
      <c r="BI321" s="170"/>
      <c r="BJ321" s="66"/>
      <c r="BK321" s="66">
        <f t="shared" si="275"/>
        <v>13341995</v>
      </c>
      <c r="BL321" s="66"/>
      <c r="BM321" s="144">
        <f t="shared" si="276"/>
        <v>9.0749172069094608E-2</v>
      </c>
      <c r="BN321" s="65">
        <f t="shared" si="277"/>
        <v>965119.26282051287</v>
      </c>
      <c r="BO321" s="66"/>
      <c r="BP321" s="66">
        <f t="shared" si="278"/>
        <v>24920837</v>
      </c>
      <c r="BQ321" s="66"/>
      <c r="BR321" s="435">
        <f t="shared" si="283"/>
        <v>8.2761251009200038E-2</v>
      </c>
      <c r="BS321" s="66"/>
      <c r="BT321" s="75"/>
      <c r="BU321" s="170"/>
      <c r="BV321" s="1"/>
      <c r="BW321" s="61">
        <f t="shared" si="189"/>
        <v>312</v>
      </c>
    </row>
    <row r="322" spans="2:75" x14ac:dyDescent="0.3">
      <c r="B322" s="158">
        <f t="shared" si="163"/>
        <v>44222</v>
      </c>
      <c r="C322" s="61"/>
      <c r="D322" s="17">
        <v>151727</v>
      </c>
      <c r="E322" s="16"/>
      <c r="F322" s="16"/>
      <c r="G322" s="16"/>
      <c r="H322" s="16">
        <f t="shared" si="259"/>
        <v>25979542</v>
      </c>
      <c r="I322" s="16"/>
      <c r="J322" s="436">
        <f t="shared" si="260"/>
        <v>5.8745581072189032E-3</v>
      </c>
      <c r="K322" s="16"/>
      <c r="L322" s="16"/>
      <c r="M322" s="16"/>
      <c r="N322" s="16">
        <f t="shared" si="280"/>
        <v>1188124</v>
      </c>
      <c r="O322" s="16">
        <f t="shared" si="261"/>
        <v>83001.731629392976</v>
      </c>
      <c r="P322" s="41"/>
      <c r="Q322" s="17">
        <f t="shared" si="281"/>
        <v>1188124</v>
      </c>
      <c r="R322" s="16"/>
      <c r="S322" s="60">
        <f t="shared" si="282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62"/>
        <v>434846</v>
      </c>
      <c r="AB322" s="33"/>
      <c r="AC322" s="46">
        <f t="shared" si="263"/>
        <v>1.6738016397671675E-2</v>
      </c>
      <c r="AD322" s="33"/>
      <c r="AE322" s="33">
        <f t="shared" si="264"/>
        <v>1389.2843450479234</v>
      </c>
      <c r="AF322" s="50"/>
      <c r="AG322" s="33">
        <f t="shared" si="265"/>
        <v>23735</v>
      </c>
      <c r="AH322" s="33">
        <f t="shared" si="266"/>
        <v>1133738692.060914</v>
      </c>
      <c r="AI322" s="213">
        <f t="shared" si="267"/>
        <v>9.9810018071451734E-2</v>
      </c>
      <c r="AJ322" s="50"/>
      <c r="AK322" s="10"/>
      <c r="AL322" s="23">
        <f t="shared" si="268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9"/>
        <v>8.0293340231639664E-3</v>
      </c>
      <c r="AS322" s="25"/>
      <c r="AT322" s="25"/>
      <c r="AU322" s="24"/>
      <c r="AV322" s="298">
        <f t="shared" si="270"/>
        <v>0.60596745700905741</v>
      </c>
      <c r="AW322" s="298"/>
      <c r="AX322" s="24">
        <f t="shared" si="271"/>
        <v>50296.348242811502</v>
      </c>
      <c r="AY322" s="308"/>
      <c r="AZ322" s="10"/>
      <c r="BA322" s="65">
        <f t="shared" si="272"/>
        <v>1294397</v>
      </c>
      <c r="BB322" s="66"/>
      <c r="BC322" s="66">
        <v>302411607</v>
      </c>
      <c r="BD322" s="66"/>
      <c r="BE322" s="66">
        <f t="shared" si="273"/>
        <v>151727</v>
      </c>
      <c r="BF322" s="66"/>
      <c r="BG322" s="144">
        <f t="shared" si="274"/>
        <v>0.11721828774325033</v>
      </c>
      <c r="BH322" s="66"/>
      <c r="BI322" s="170"/>
      <c r="BJ322" s="66"/>
      <c r="BK322" s="66">
        <f t="shared" si="275"/>
        <v>12612655</v>
      </c>
      <c r="BL322" s="66"/>
      <c r="BM322" s="144">
        <f t="shared" si="276"/>
        <v>9.4200943417543731E-2</v>
      </c>
      <c r="BN322" s="65">
        <f t="shared" si="277"/>
        <v>966171.26837060705</v>
      </c>
      <c r="BO322" s="66"/>
      <c r="BP322" s="66">
        <f t="shared" si="278"/>
        <v>25072564</v>
      </c>
      <c r="BQ322" s="66"/>
      <c r="BR322" s="435">
        <f t="shared" si="283"/>
        <v>8.2908735708679335E-2</v>
      </c>
      <c r="BS322" s="66"/>
      <c r="BT322" s="75"/>
      <c r="BU322" s="170"/>
      <c r="BV322" s="1"/>
      <c r="BW322" s="61">
        <f t="shared" si="189"/>
        <v>313</v>
      </c>
    </row>
    <row r="323" spans="2:75" x14ac:dyDescent="0.3">
      <c r="B323" s="158">
        <f t="shared" si="163"/>
        <v>44223</v>
      </c>
      <c r="C323" s="61"/>
      <c r="D323" s="17">
        <v>160031</v>
      </c>
      <c r="E323" s="16"/>
      <c r="F323" s="16"/>
      <c r="G323" s="16"/>
      <c r="H323" s="16">
        <f t="shared" si="259"/>
        <v>26139573</v>
      </c>
      <c r="I323" s="16"/>
      <c r="J323" s="436">
        <f t="shared" si="260"/>
        <v>6.1598853436292296E-3</v>
      </c>
      <c r="K323" s="16"/>
      <c r="L323" s="16"/>
      <c r="M323" s="16"/>
      <c r="N323" s="16">
        <f t="shared" si="280"/>
        <v>1158074</v>
      </c>
      <c r="O323" s="16">
        <f t="shared" si="261"/>
        <v>83247.047770700636</v>
      </c>
      <c r="P323" s="41"/>
      <c r="Q323" s="17">
        <f t="shared" si="281"/>
        <v>1158074</v>
      </c>
      <c r="R323" s="16"/>
      <c r="S323" s="60">
        <f t="shared" si="282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62"/>
        <v>439044</v>
      </c>
      <c r="AB323" s="33"/>
      <c r="AC323" s="46">
        <f t="shared" si="263"/>
        <v>1.6796142767902138E-2</v>
      </c>
      <c r="AD323" s="33"/>
      <c r="AE323" s="33">
        <f t="shared" si="264"/>
        <v>1398.2292993630574</v>
      </c>
      <c r="AF323" s="50"/>
      <c r="AG323" s="33">
        <f t="shared" si="265"/>
        <v>23539</v>
      </c>
      <c r="AH323" s="33">
        <f t="shared" si="266"/>
        <v>1133552301.060914</v>
      </c>
      <c r="AI323" s="213">
        <f t="shared" si="267"/>
        <v>7.5822669104204751E-2</v>
      </c>
      <c r="AJ323" s="50"/>
      <c r="AK323" s="10"/>
      <c r="AL323" s="23">
        <f t="shared" si="268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9"/>
        <v>1.2725407627139262E-2</v>
      </c>
      <c r="AS323" s="25"/>
      <c r="AT323" s="25"/>
      <c r="AU323" s="24"/>
      <c r="AV323" s="298">
        <f t="shared" si="270"/>
        <v>0.6099215928278553</v>
      </c>
      <c r="AW323" s="298"/>
      <c r="AX323" s="24">
        <f t="shared" si="271"/>
        <v>50774.171974522294</v>
      </c>
      <c r="AY323" s="308"/>
      <c r="AZ323" s="10"/>
      <c r="BA323" s="65">
        <f t="shared" si="272"/>
        <v>2002419</v>
      </c>
      <c r="BB323" s="66"/>
      <c r="BC323" s="66">
        <v>304414026</v>
      </c>
      <c r="BD323" s="66"/>
      <c r="BE323" s="66">
        <f t="shared" si="273"/>
        <v>160031</v>
      </c>
      <c r="BF323" s="66"/>
      <c r="BG323" s="144">
        <f t="shared" si="274"/>
        <v>7.9918838165239148E-2</v>
      </c>
      <c r="BH323" s="66"/>
      <c r="BI323" s="170"/>
      <c r="BJ323" s="66"/>
      <c r="BK323" s="66">
        <f t="shared" si="275"/>
        <v>12835833</v>
      </c>
      <c r="BL323" s="66"/>
      <c r="BM323" s="144">
        <f t="shared" si="276"/>
        <v>9.0221959104640898E-2</v>
      </c>
      <c r="BN323" s="65">
        <f t="shared" si="277"/>
        <v>969471.42038216558</v>
      </c>
      <c r="BO323" s="66"/>
      <c r="BP323" s="66">
        <f t="shared" si="278"/>
        <v>25232595</v>
      </c>
      <c r="BQ323" s="66"/>
      <c r="BR323" s="435">
        <f t="shared" si="283"/>
        <v>8.288906832433536E-2</v>
      </c>
      <c r="BS323" s="66"/>
      <c r="BT323" s="75"/>
      <c r="BU323" s="170"/>
      <c r="BV323" s="1"/>
      <c r="BW323" s="61">
        <f t="shared" si="189"/>
        <v>314</v>
      </c>
    </row>
    <row r="324" spans="2:75" x14ac:dyDescent="0.3">
      <c r="B324" s="158">
        <f t="shared" si="163"/>
        <v>44224</v>
      </c>
      <c r="C324" s="61"/>
      <c r="D324" s="17">
        <v>162633</v>
      </c>
      <c r="E324" s="16"/>
      <c r="F324" s="16"/>
      <c r="G324" s="16"/>
      <c r="H324" s="16">
        <f t="shared" si="259"/>
        <v>26302206</v>
      </c>
      <c r="I324" s="16"/>
      <c r="J324" s="436">
        <f t="shared" si="260"/>
        <v>6.2217160165546695E-3</v>
      </c>
      <c r="K324" s="16"/>
      <c r="L324" s="16"/>
      <c r="M324" s="16"/>
      <c r="N324" s="16">
        <f t="shared" si="280"/>
        <v>1126949</v>
      </c>
      <c r="O324" s="16">
        <f t="shared" si="261"/>
        <v>83499.066666666666</v>
      </c>
      <c r="P324" s="41"/>
      <c r="Q324" s="17">
        <f t="shared" si="281"/>
        <v>1126949</v>
      </c>
      <c r="R324" s="16"/>
      <c r="S324" s="60">
        <f t="shared" si="282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62"/>
        <v>442963</v>
      </c>
      <c r="AB324" s="33"/>
      <c r="AC324" s="46">
        <f t="shared" si="263"/>
        <v>1.6841287000793775E-2</v>
      </c>
      <c r="AD324" s="33"/>
      <c r="AE324" s="33">
        <f t="shared" si="264"/>
        <v>1406.2317460317461</v>
      </c>
      <c r="AF324" s="50"/>
      <c r="AG324" s="33">
        <f t="shared" si="265"/>
        <v>23095</v>
      </c>
      <c r="AH324" s="33">
        <f t="shared" si="266"/>
        <v>1133352679.060914</v>
      </c>
      <c r="AI324" s="213">
        <f t="shared" si="267"/>
        <v>4.4975340482331115E-2</v>
      </c>
      <c r="AJ324" s="50"/>
      <c r="AK324" s="10"/>
      <c r="AL324" s="23">
        <f t="shared" si="268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9"/>
        <v>7.9687187364557311E-3</v>
      </c>
      <c r="AS324" s="25"/>
      <c r="AT324" s="25"/>
      <c r="AU324" s="24"/>
      <c r="AV324" s="298">
        <f t="shared" si="270"/>
        <v>0.61098053904680083</v>
      </c>
      <c r="AW324" s="298"/>
      <c r="AX324" s="24">
        <f t="shared" si="271"/>
        <v>51016.304761904765</v>
      </c>
      <c r="AY324" s="308"/>
      <c r="AZ324" s="10"/>
      <c r="BA324" s="65">
        <f t="shared" si="272"/>
        <v>2038820</v>
      </c>
      <c r="BB324" s="66"/>
      <c r="BC324" s="66">
        <v>306452846</v>
      </c>
      <c r="BD324" s="66"/>
      <c r="BE324" s="66">
        <f t="shared" si="273"/>
        <v>162633</v>
      </c>
      <c r="BF324" s="66"/>
      <c r="BG324" s="144">
        <f t="shared" si="274"/>
        <v>7.9768199252508803E-2</v>
      </c>
      <c r="BH324" s="66"/>
      <c r="BI324" s="170"/>
      <c r="BJ324" s="66"/>
      <c r="BK324" s="66">
        <f t="shared" si="275"/>
        <v>12890272</v>
      </c>
      <c r="BL324" s="66"/>
      <c r="BM324" s="144">
        <f t="shared" si="276"/>
        <v>8.742631652768848E-2</v>
      </c>
      <c r="BN324" s="65">
        <f t="shared" si="277"/>
        <v>972866.17777777778</v>
      </c>
      <c r="BO324" s="66"/>
      <c r="BP324" s="66">
        <f t="shared" si="278"/>
        <v>25395228</v>
      </c>
      <c r="BQ324" s="66"/>
      <c r="BR324" s="435">
        <f t="shared" si="283"/>
        <v>8.2868305292227565E-2</v>
      </c>
      <c r="BS324" s="66"/>
      <c r="BT324" s="75"/>
      <c r="BU324" s="170"/>
      <c r="BV324" s="1"/>
      <c r="BW324" s="61">
        <f t="shared" si="189"/>
        <v>315</v>
      </c>
    </row>
    <row r="325" spans="2:75" x14ac:dyDescent="0.3">
      <c r="B325" s="158">
        <f t="shared" si="163"/>
        <v>44225</v>
      </c>
      <c r="C325" s="61"/>
      <c r="D325" s="17">
        <v>169033</v>
      </c>
      <c r="E325" s="16"/>
      <c r="F325" s="16"/>
      <c r="G325" s="16"/>
      <c r="H325" s="16">
        <f t="shared" si="259"/>
        <v>26471239</v>
      </c>
      <c r="I325" s="16"/>
      <c r="J325" s="436">
        <f t="shared" si="260"/>
        <v>6.4265712161177659E-3</v>
      </c>
      <c r="K325" s="16"/>
      <c r="L325" s="16"/>
      <c r="M325" s="16"/>
      <c r="N325" s="16">
        <f t="shared" si="280"/>
        <v>1103917</v>
      </c>
      <c r="O325" s="16">
        <f t="shared" si="261"/>
        <v>83769.743670886077</v>
      </c>
      <c r="P325" s="41"/>
      <c r="Q325" s="17">
        <f t="shared" si="281"/>
        <v>1103917</v>
      </c>
      <c r="R325" s="16"/>
      <c r="S325" s="60">
        <f t="shared" si="282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62"/>
        <v>446615</v>
      </c>
      <c r="AB325" s="33"/>
      <c r="AC325" s="46">
        <f t="shared" si="263"/>
        <v>1.6871707440667964E-2</v>
      </c>
      <c r="AD325" s="33"/>
      <c r="AE325" s="33">
        <f t="shared" si="264"/>
        <v>1413.3386075949368</v>
      </c>
      <c r="AF325" s="50"/>
      <c r="AG325" s="33">
        <f t="shared" si="265"/>
        <v>22861</v>
      </c>
      <c r="AH325" s="33">
        <f t="shared" si="266"/>
        <v>1133117904.060914</v>
      </c>
      <c r="AI325" s="213">
        <f t="shared" si="267"/>
        <v>3.1168245376635092E-2</v>
      </c>
      <c r="AJ325" s="50"/>
      <c r="AK325" s="10"/>
      <c r="AL325" s="23">
        <f t="shared" si="268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9"/>
        <v>8.0544433475858573E-3</v>
      </c>
      <c r="AS325" s="25"/>
      <c r="AT325" s="25"/>
      <c r="AU325" s="24"/>
      <c r="AV325" s="298">
        <f t="shared" si="270"/>
        <v>0.61196878619848505</v>
      </c>
      <c r="AW325" s="298"/>
      <c r="AX325" s="24">
        <f t="shared" si="271"/>
        <v>51264.468354430377</v>
      </c>
      <c r="AY325" s="308"/>
      <c r="AZ325" s="10"/>
      <c r="BA325" s="65">
        <f t="shared" si="272"/>
        <v>1943838</v>
      </c>
      <c r="BB325" s="66"/>
      <c r="BC325" s="66">
        <v>308396684</v>
      </c>
      <c r="BD325" s="66"/>
      <c r="BE325" s="66">
        <f t="shared" si="273"/>
        <v>169033</v>
      </c>
      <c r="BF325" s="66"/>
      <c r="BG325" s="144">
        <f t="shared" si="274"/>
        <v>8.6958378218761026E-2</v>
      </c>
      <c r="BH325" s="66"/>
      <c r="BI325" s="170"/>
      <c r="BJ325" s="66"/>
      <c r="BK325" s="66">
        <f t="shared" si="275"/>
        <v>12857106</v>
      </c>
      <c r="BL325" s="66"/>
      <c r="BM325" s="144">
        <f t="shared" si="276"/>
        <v>8.5860457244421873E-2</v>
      </c>
      <c r="BN325" s="65">
        <f t="shared" si="277"/>
        <v>975938.87341772148</v>
      </c>
      <c r="BO325" s="66"/>
      <c r="BP325" s="66">
        <f t="shared" si="278"/>
        <v>25564261</v>
      </c>
      <c r="BQ325" s="66"/>
      <c r="BR325" s="435">
        <f t="shared" si="283"/>
        <v>8.2894085203587986E-2</v>
      </c>
      <c r="BS325" s="66"/>
      <c r="BT325" s="75"/>
      <c r="BU325" s="170"/>
      <c r="BV325" s="1"/>
      <c r="BW325" s="61">
        <f t="shared" si="189"/>
        <v>316</v>
      </c>
    </row>
    <row r="326" spans="2:75" x14ac:dyDescent="0.3">
      <c r="B326" s="158">
        <f t="shared" si="163"/>
        <v>44226</v>
      </c>
      <c r="C326" s="61"/>
      <c r="D326" s="17">
        <v>140732</v>
      </c>
      <c r="E326" s="16"/>
      <c r="F326" s="16"/>
      <c r="G326" s="16"/>
      <c r="H326" s="16">
        <f t="shared" ref="H326:H357" si="284">+H325+D326</f>
        <v>26611971</v>
      </c>
      <c r="I326" s="16"/>
      <c r="J326" s="436">
        <f t="shared" ref="J326:J357" si="285">+D326/H325</f>
        <v>5.3164115211985358E-3</v>
      </c>
      <c r="K326" s="16"/>
      <c r="L326" s="16"/>
      <c r="M326" s="16"/>
      <c r="N326" s="16">
        <f t="shared" si="280"/>
        <v>1071582</v>
      </c>
      <c r="O326" s="16">
        <f t="shared" ref="O326:O357" si="286">+H326/BW326</f>
        <v>83949.435331230285</v>
      </c>
      <c r="P326" s="41"/>
      <c r="Q326" s="17">
        <f t="shared" si="281"/>
        <v>1071582</v>
      </c>
      <c r="R326" s="16"/>
      <c r="S326" s="60">
        <f t="shared" si="282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7">+AA325+W326</f>
        <v>449504</v>
      </c>
      <c r="AB326" s="33"/>
      <c r="AC326" s="46">
        <f t="shared" ref="AC326:AC357" si="288">+AA326/H326</f>
        <v>1.6891045011284585E-2</v>
      </c>
      <c r="AD326" s="33"/>
      <c r="AE326" s="33">
        <f t="shared" ref="AE326:AE357" si="289">+AA326/BW326</f>
        <v>1417.993690851735</v>
      </c>
      <c r="AF326" s="50"/>
      <c r="AG326" s="33">
        <f t="shared" ref="AG326:AG357" si="290">SUM(W320:W326)</f>
        <v>22311</v>
      </c>
      <c r="AH326" s="33">
        <f t="shared" si="266"/>
        <v>1132889491.060914</v>
      </c>
      <c r="AI326" s="213">
        <f t="shared" ref="AI326:AI357" si="291">+(AG326-AG319)/AG319</f>
        <v>3.553436487945304E-3</v>
      </c>
      <c r="AJ326" s="50"/>
      <c r="AK326" s="10"/>
      <c r="AL326" s="23">
        <f t="shared" ref="AL326:AL349" si="292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93">+AL326/AP325</f>
        <v>7.9865072978471275E-3</v>
      </c>
      <c r="AS326" s="25"/>
      <c r="AT326" s="25"/>
      <c r="AU326" s="24"/>
      <c r="AV326" s="298">
        <f t="shared" ref="AV326:AV357" si="294">+AP326/H326</f>
        <v>0.61359416031228953</v>
      </c>
      <c r="AW326" s="298"/>
      <c r="AX326" s="24">
        <f t="shared" ref="AX326:AX357" si="295">+AP326/BW326</f>
        <v>51510.883280757094</v>
      </c>
      <c r="AY326" s="308"/>
      <c r="AZ326" s="10"/>
      <c r="BA326" s="65">
        <f t="shared" ref="BA326:BA357" si="296">+BC326-BC325</f>
        <v>2164347</v>
      </c>
      <c r="BB326" s="66"/>
      <c r="BC326" s="66">
        <v>310561031</v>
      </c>
      <c r="BD326" s="66"/>
      <c r="BE326" s="66">
        <f t="shared" ref="BE326:BE357" si="297">+D326</f>
        <v>140732</v>
      </c>
      <c r="BF326" s="66"/>
      <c r="BG326" s="144">
        <f t="shared" ref="BG326:BG357" si="298">+BE326/BA326</f>
        <v>6.5022845227682993E-2</v>
      </c>
      <c r="BH326" s="66"/>
      <c r="BI326" s="170"/>
      <c r="BJ326" s="66"/>
      <c r="BK326" s="66">
        <f t="shared" ref="BK326:BK357" si="299">SUM(BA320:BA326)</f>
        <v>13163351</v>
      </c>
      <c r="BL326" s="66"/>
      <c r="BM326" s="144">
        <f t="shared" ref="BM326:BM357" si="300">+Q326/BK326</f>
        <v>8.1406474688701991E-2</v>
      </c>
      <c r="BN326" s="65">
        <f t="shared" ref="BN326:BN357" si="301">+BC326/BW326</f>
        <v>979687.7949526814</v>
      </c>
      <c r="BO326" s="66"/>
      <c r="BP326" s="66">
        <f t="shared" ref="BP326:BP357" si="302">+BP325+BE326</f>
        <v>25704993</v>
      </c>
      <c r="BQ326" s="66"/>
      <c r="BR326" s="435">
        <f t="shared" si="283"/>
        <v>8.2769537817511951E-2</v>
      </c>
      <c r="BS326" s="66"/>
      <c r="BT326" s="75"/>
      <c r="BU326" s="170"/>
      <c r="BV326" s="1"/>
      <c r="BW326" s="61">
        <f t="shared" si="189"/>
        <v>317</v>
      </c>
    </row>
    <row r="327" spans="2:75" x14ac:dyDescent="0.3">
      <c r="B327" s="347">
        <f t="shared" si="163"/>
        <v>44227</v>
      </c>
      <c r="C327" s="61"/>
      <c r="D327" s="17">
        <v>107816</v>
      </c>
      <c r="E327" s="16"/>
      <c r="F327" s="16"/>
      <c r="G327" s="16"/>
      <c r="H327" s="16">
        <f t="shared" si="284"/>
        <v>26719787</v>
      </c>
      <c r="I327" s="16"/>
      <c r="J327" s="436">
        <f t="shared" si="285"/>
        <v>4.0514097959899326E-3</v>
      </c>
      <c r="K327" s="16"/>
      <c r="L327" s="16"/>
      <c r="M327" s="16"/>
      <c r="N327" s="16">
        <f t="shared" si="280"/>
        <v>1044216</v>
      </c>
      <c r="O327" s="16">
        <f t="shared" si="286"/>
        <v>84024.487421383645</v>
      </c>
      <c r="P327" s="41"/>
      <c r="Q327" s="17">
        <f t="shared" si="281"/>
        <v>1044216</v>
      </c>
      <c r="R327" s="16"/>
      <c r="S327" s="60">
        <f t="shared" si="282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7"/>
        <v>451390</v>
      </c>
      <c r="AB327" s="33"/>
      <c r="AC327" s="46">
        <f t="shared" si="288"/>
        <v>1.6893472990634244E-2</v>
      </c>
      <c r="AD327" s="33"/>
      <c r="AE327" s="33">
        <f t="shared" si="289"/>
        <v>1419.4654088050315</v>
      </c>
      <c r="AF327" s="50"/>
      <c r="AG327" s="33">
        <f t="shared" si="290"/>
        <v>22353</v>
      </c>
      <c r="AH327" s="33">
        <f t="shared" si="266"/>
        <v>1132723447.060914</v>
      </c>
      <c r="AI327" s="213">
        <f t="shared" si="291"/>
        <v>5.5330634278002696E-3</v>
      </c>
      <c r="AJ327" s="50"/>
      <c r="AK327" s="10"/>
      <c r="AL327" s="23">
        <f t="shared" si="292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93"/>
        <v>4.5865165855734757E-3</v>
      </c>
      <c r="AS327" s="25"/>
      <c r="AT327" s="25"/>
      <c r="AU327" s="24"/>
      <c r="AV327" s="298">
        <f t="shared" si="294"/>
        <v>0.61392117384768075</v>
      </c>
      <c r="AW327" s="298"/>
      <c r="AX327" s="24">
        <f t="shared" si="295"/>
        <v>51584.411949685535</v>
      </c>
      <c r="AY327" s="308"/>
      <c r="AZ327" s="10"/>
      <c r="BA327" s="65">
        <f t="shared" si="296"/>
        <v>1575572</v>
      </c>
      <c r="BB327" s="66"/>
      <c r="BC327" s="66">
        <v>312136603</v>
      </c>
      <c r="BD327" s="66"/>
      <c r="BE327" s="66">
        <f t="shared" si="297"/>
        <v>107816</v>
      </c>
      <c r="BF327" s="66"/>
      <c r="BG327" s="144">
        <f t="shared" si="298"/>
        <v>6.8429751226856031E-2</v>
      </c>
      <c r="BH327" s="66"/>
      <c r="BI327" s="170"/>
      <c r="BJ327" s="66"/>
      <c r="BK327" s="66">
        <f t="shared" si="299"/>
        <v>13055036</v>
      </c>
      <c r="BL327" s="66"/>
      <c r="BM327" s="144">
        <f t="shared" si="300"/>
        <v>7.9985685217566618E-2</v>
      </c>
      <c r="BN327" s="65">
        <f t="shared" si="301"/>
        <v>981561.64465408807</v>
      </c>
      <c r="BO327" s="66"/>
      <c r="BP327" s="66">
        <f t="shared" si="302"/>
        <v>25812809</v>
      </c>
      <c r="BQ327" s="66"/>
      <c r="BR327" s="435">
        <f t="shared" si="283"/>
        <v>8.2697154873566686E-2</v>
      </c>
      <c r="BS327" s="66"/>
      <c r="BT327" s="75"/>
      <c r="BU327" s="170"/>
      <c r="BV327" s="1"/>
      <c r="BW327" s="61">
        <f t="shared" si="189"/>
        <v>318</v>
      </c>
    </row>
    <row r="328" spans="2:75" x14ac:dyDescent="0.3">
      <c r="B328" s="158">
        <f t="shared" si="163"/>
        <v>44228</v>
      </c>
      <c r="C328" s="61"/>
      <c r="D328" s="17">
        <v>126452</v>
      </c>
      <c r="E328" s="16"/>
      <c r="F328" s="16"/>
      <c r="G328" s="16"/>
      <c r="H328" s="16">
        <f t="shared" si="284"/>
        <v>26846239</v>
      </c>
      <c r="I328" s="16"/>
      <c r="J328" s="436">
        <f t="shared" si="285"/>
        <v>4.7325227555144811E-3</v>
      </c>
      <c r="K328" s="16"/>
      <c r="L328" s="16"/>
      <c r="M328" s="16"/>
      <c r="N328" s="16">
        <f t="shared" si="280"/>
        <v>1018424</v>
      </c>
      <c r="O328" s="16">
        <f t="shared" si="286"/>
        <v>84157.489028213167</v>
      </c>
      <c r="P328" s="41"/>
      <c r="Q328" s="17">
        <f t="shared" si="281"/>
        <v>1018424</v>
      </c>
      <c r="R328" s="16"/>
      <c r="S328" s="60">
        <f t="shared" si="282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7"/>
        <v>453305</v>
      </c>
      <c r="AB328" s="33"/>
      <c r="AC328" s="46">
        <f t="shared" si="288"/>
        <v>1.6885232974346985E-2</v>
      </c>
      <c r="AD328" s="33"/>
      <c r="AE328" s="33">
        <f t="shared" si="289"/>
        <v>1421.0188087774295</v>
      </c>
      <c r="AF328" s="50"/>
      <c r="AG328" s="33">
        <f t="shared" si="290"/>
        <v>22371</v>
      </c>
      <c r="AH328" s="33">
        <f t="shared" si="266"/>
        <v>1132491220.060914</v>
      </c>
      <c r="AI328" s="213">
        <f t="shared" si="291"/>
        <v>-1.1226519337016575E-2</v>
      </c>
      <c r="AJ328" s="50"/>
      <c r="AK328" s="10"/>
      <c r="AL328" s="23">
        <f t="shared" si="292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93"/>
        <v>1.3788903002790261E-2</v>
      </c>
      <c r="AS328" s="25"/>
      <c r="AT328" s="25"/>
      <c r="AU328" s="24"/>
      <c r="AV328" s="298">
        <f t="shared" si="294"/>
        <v>0.61945488900698531</v>
      </c>
      <c r="AW328" s="298"/>
      <c r="AX328" s="24">
        <f t="shared" si="295"/>
        <v>52131.768025078367</v>
      </c>
      <c r="AY328" s="308"/>
      <c r="AZ328" s="10"/>
      <c r="BA328" s="65">
        <f t="shared" si="296"/>
        <v>2038149</v>
      </c>
      <c r="BB328" s="66"/>
      <c r="BC328" s="66">
        <v>314174752</v>
      </c>
      <c r="BD328" s="66"/>
      <c r="BE328" s="66">
        <f t="shared" si="297"/>
        <v>126452</v>
      </c>
      <c r="BF328" s="66"/>
      <c r="BG328" s="144">
        <f t="shared" si="298"/>
        <v>6.2042569017279892E-2</v>
      </c>
      <c r="BH328" s="66"/>
      <c r="BI328" s="170"/>
      <c r="BJ328" s="66"/>
      <c r="BK328" s="66">
        <f t="shared" si="299"/>
        <v>13057542</v>
      </c>
      <c r="BL328" s="66"/>
      <c r="BM328" s="144">
        <f t="shared" si="300"/>
        <v>7.7995077480891892E-2</v>
      </c>
      <c r="BN328" s="65">
        <f t="shared" si="301"/>
        <v>984873.83072100312</v>
      </c>
      <c r="BO328" s="66"/>
      <c r="BP328" s="66">
        <f t="shared" si="302"/>
        <v>25939261</v>
      </c>
      <c r="BQ328" s="66"/>
      <c r="BR328" s="435">
        <f t="shared" si="283"/>
        <v>8.2563162172878873E-2</v>
      </c>
      <c r="BS328" s="66"/>
      <c r="BT328" s="75"/>
      <c r="BU328" s="170"/>
      <c r="BV328" s="1"/>
      <c r="BW328" s="61">
        <f t="shared" si="189"/>
        <v>319</v>
      </c>
    </row>
    <row r="329" spans="2:75" x14ac:dyDescent="0.3">
      <c r="B329" s="158">
        <f t="shared" si="163"/>
        <v>44229</v>
      </c>
      <c r="C329" s="61"/>
      <c r="D329" s="17">
        <v>116227</v>
      </c>
      <c r="E329" s="16"/>
      <c r="F329" s="16"/>
      <c r="G329" s="16"/>
      <c r="H329" s="16">
        <f t="shared" si="284"/>
        <v>26962466</v>
      </c>
      <c r="I329" s="16"/>
      <c r="J329" s="436">
        <f t="shared" si="285"/>
        <v>4.3293587604580292E-3</v>
      </c>
      <c r="K329" s="16"/>
      <c r="L329" s="16"/>
      <c r="M329" s="16"/>
      <c r="N329" s="16">
        <f t="shared" si="280"/>
        <v>982924</v>
      </c>
      <c r="O329" s="16">
        <f t="shared" si="286"/>
        <v>84257.706250000003</v>
      </c>
      <c r="P329" s="41"/>
      <c r="Q329" s="17">
        <f t="shared" si="281"/>
        <v>982924</v>
      </c>
      <c r="R329" s="16"/>
      <c r="S329" s="60">
        <f t="shared" si="282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7"/>
        <v>457012</v>
      </c>
      <c r="AB329" s="33"/>
      <c r="AC329" s="46">
        <f t="shared" si="288"/>
        <v>1.694993328874295E-2</v>
      </c>
      <c r="AD329" s="33"/>
      <c r="AE329" s="33">
        <f t="shared" si="289"/>
        <v>1428.1624999999999</v>
      </c>
      <c r="AF329" s="50"/>
      <c r="AG329" s="33">
        <f t="shared" si="290"/>
        <v>22166</v>
      </c>
      <c r="AH329" s="33">
        <f t="shared" si="266"/>
        <v>1132296883.060914</v>
      </c>
      <c r="AI329" s="213">
        <f t="shared" si="291"/>
        <v>-6.6104908363176743E-2</v>
      </c>
      <c r="AJ329" s="50"/>
      <c r="AK329" s="10"/>
      <c r="AL329" s="23">
        <f t="shared" si="292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93"/>
        <v>7.3382892662757033E-3</v>
      </c>
      <c r="AS329" s="25"/>
      <c r="AT329" s="25"/>
      <c r="AU329" s="24"/>
      <c r="AV329" s="298">
        <f t="shared" si="294"/>
        <v>0.62131075102700173</v>
      </c>
      <c r="AW329" s="298"/>
      <c r="AX329" s="24">
        <f t="shared" si="295"/>
        <v>52350.21875</v>
      </c>
      <c r="AY329" s="308"/>
      <c r="AZ329" s="10"/>
      <c r="BA329" s="65">
        <f t="shared" si="296"/>
        <v>1440210</v>
      </c>
      <c r="BB329" s="66"/>
      <c r="BC329" s="66">
        <v>315614962</v>
      </c>
      <c r="BD329" s="66"/>
      <c r="BE329" s="66">
        <f t="shared" si="297"/>
        <v>116227</v>
      </c>
      <c r="BF329" s="66"/>
      <c r="BG329" s="144">
        <f t="shared" si="298"/>
        <v>8.0701425486560993E-2</v>
      </c>
      <c r="BH329" s="66"/>
      <c r="BI329" s="170"/>
      <c r="BJ329" s="66"/>
      <c r="BK329" s="66">
        <f t="shared" si="299"/>
        <v>13203355</v>
      </c>
      <c r="BL329" s="66"/>
      <c r="BM329" s="144">
        <f t="shared" si="300"/>
        <v>7.4445017951876621E-2</v>
      </c>
      <c r="BN329" s="65">
        <f t="shared" si="301"/>
        <v>986296.75624999998</v>
      </c>
      <c r="BO329" s="66"/>
      <c r="BP329" s="66">
        <f t="shared" si="302"/>
        <v>26055488</v>
      </c>
      <c r="BQ329" s="66"/>
      <c r="BR329" s="435">
        <f t="shared" si="283"/>
        <v>8.2554666720774786E-2</v>
      </c>
      <c r="BS329" s="66"/>
      <c r="BT329" s="75"/>
      <c r="BU329" s="170"/>
      <c r="BV329" s="1"/>
      <c r="BW329" s="61">
        <f t="shared" si="189"/>
        <v>320</v>
      </c>
    </row>
    <row r="330" spans="2:75" x14ac:dyDescent="0.3">
      <c r="B330" s="158">
        <f t="shared" si="163"/>
        <v>44230</v>
      </c>
      <c r="C330" s="61"/>
      <c r="D330" s="17">
        <v>113459</v>
      </c>
      <c r="E330" s="16"/>
      <c r="F330" s="16"/>
      <c r="G330" s="16"/>
      <c r="H330" s="16">
        <f t="shared" si="284"/>
        <v>27075925</v>
      </c>
      <c r="I330" s="16"/>
      <c r="J330" s="436">
        <f t="shared" si="285"/>
        <v>4.2080349772161052E-3</v>
      </c>
      <c r="K330" s="16"/>
      <c r="L330" s="16"/>
      <c r="M330" s="16"/>
      <c r="N330" s="16">
        <f t="shared" si="280"/>
        <v>936352</v>
      </c>
      <c r="O330" s="16">
        <f t="shared" si="286"/>
        <v>84348.676012461059</v>
      </c>
      <c r="P330" s="41"/>
      <c r="Q330" s="17">
        <f t="shared" si="281"/>
        <v>936352</v>
      </c>
      <c r="R330" s="16"/>
      <c r="S330" s="60">
        <f t="shared" si="282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7"/>
        <v>461011</v>
      </c>
      <c r="AB330" s="33"/>
      <c r="AC330" s="46">
        <f t="shared" si="288"/>
        <v>1.7026602045913483E-2</v>
      </c>
      <c r="AD330" s="33"/>
      <c r="AE330" s="33">
        <f t="shared" si="289"/>
        <v>1436.1713395638628</v>
      </c>
      <c r="AF330" s="50"/>
      <c r="AG330" s="33">
        <f t="shared" si="290"/>
        <v>21967</v>
      </c>
      <c r="AH330" s="33">
        <f t="shared" si="266"/>
        <v>1132106721.060914</v>
      </c>
      <c r="AI330" s="213">
        <f t="shared" si="291"/>
        <v>-6.6782786014699017E-2</v>
      </c>
      <c r="AJ330" s="50"/>
      <c r="AK330" s="10"/>
      <c r="AL330" s="23">
        <f t="shared" si="292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93"/>
        <v>9.2351572074376477E-3</v>
      </c>
      <c r="AS330" s="25"/>
      <c r="AT330" s="25"/>
      <c r="AU330" s="24"/>
      <c r="AV330" s="298">
        <f t="shared" si="294"/>
        <v>0.62442106779362105</v>
      </c>
      <c r="AW330" s="298"/>
      <c r="AX330" s="24">
        <f t="shared" si="295"/>
        <v>52669.090342679126</v>
      </c>
      <c r="AY330" s="308"/>
      <c r="AZ330" s="10"/>
      <c r="BA330" s="65">
        <f t="shared" si="296"/>
        <v>1471796</v>
      </c>
      <c r="BB330" s="66"/>
      <c r="BC330" s="66">
        <v>317086758</v>
      </c>
      <c r="BD330" s="66"/>
      <c r="BE330" s="66">
        <f t="shared" si="297"/>
        <v>113459</v>
      </c>
      <c r="BF330" s="66"/>
      <c r="BG330" s="144">
        <f t="shared" si="298"/>
        <v>7.7088808503352368E-2</v>
      </c>
      <c r="BH330" s="66"/>
      <c r="BI330" s="170"/>
      <c r="BJ330" s="66"/>
      <c r="BK330" s="66">
        <f t="shared" si="299"/>
        <v>12672732</v>
      </c>
      <c r="BL330" s="66"/>
      <c r="BM330" s="144">
        <f t="shared" si="300"/>
        <v>7.3887146039228163E-2</v>
      </c>
      <c r="BN330" s="65">
        <f t="shared" si="301"/>
        <v>987809.21495327097</v>
      </c>
      <c r="BO330" s="66"/>
      <c r="BP330" s="66">
        <f t="shared" si="302"/>
        <v>26168947</v>
      </c>
      <c r="BQ330" s="66"/>
      <c r="BR330" s="435">
        <f t="shared" si="283"/>
        <v>8.2529296288052501E-2</v>
      </c>
      <c r="BS330" s="66"/>
      <c r="BT330" s="75"/>
      <c r="BU330" s="170"/>
      <c r="BV330" s="1"/>
      <c r="BW330" s="61">
        <f t="shared" si="189"/>
        <v>321</v>
      </c>
    </row>
    <row r="331" spans="2:75" x14ac:dyDescent="0.3">
      <c r="B331" s="158">
        <f t="shared" si="163"/>
        <v>44231</v>
      </c>
      <c r="C331" s="61"/>
      <c r="D331" s="17">
        <v>121737</v>
      </c>
      <c r="E331" s="16"/>
      <c r="F331" s="16"/>
      <c r="G331" s="16"/>
      <c r="H331" s="16">
        <f t="shared" si="284"/>
        <v>27197662</v>
      </c>
      <c r="I331" s="16"/>
      <c r="J331" s="436">
        <f t="shared" si="285"/>
        <v>4.4961344810934434E-3</v>
      </c>
      <c r="K331" s="16"/>
      <c r="L331" s="16"/>
      <c r="M331" s="16"/>
      <c r="N331" s="16">
        <f t="shared" si="280"/>
        <v>895456</v>
      </c>
      <c r="O331" s="16">
        <f t="shared" si="286"/>
        <v>84464.788819875772</v>
      </c>
      <c r="P331" s="41"/>
      <c r="Q331" s="17">
        <f t="shared" si="281"/>
        <v>895456</v>
      </c>
      <c r="R331" s="16"/>
      <c r="S331" s="60">
        <f t="shared" si="282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7"/>
        <v>464543</v>
      </c>
      <c r="AB331" s="33"/>
      <c r="AC331" s="46">
        <f t="shared" si="288"/>
        <v>1.7080254913087751E-2</v>
      </c>
      <c r="AD331" s="33"/>
      <c r="AE331" s="33">
        <f t="shared" si="289"/>
        <v>1442.6801242236024</v>
      </c>
      <c r="AF331" s="50"/>
      <c r="AG331" s="33">
        <f t="shared" si="290"/>
        <v>21580</v>
      </c>
      <c r="AH331" s="33">
        <f t="shared" si="266"/>
        <v>1131872010.060914</v>
      </c>
      <c r="AI331" s="213">
        <f t="shared" si="291"/>
        <v>-6.5598614418705348E-2</v>
      </c>
      <c r="AJ331" s="50"/>
      <c r="AK331" s="10"/>
      <c r="AL331" s="23">
        <f t="shared" si="292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93"/>
        <v>7.3951997240396718E-3</v>
      </c>
      <c r="AS331" s="25"/>
      <c r="AT331" s="25"/>
      <c r="AU331" s="24"/>
      <c r="AV331" s="298">
        <f t="shared" si="294"/>
        <v>0.62622320256792663</v>
      </c>
      <c r="AW331" s="298"/>
      <c r="AX331" s="24">
        <f t="shared" si="295"/>
        <v>52893.810559006211</v>
      </c>
      <c r="AY331" s="308"/>
      <c r="AZ331" s="10"/>
      <c r="BA331" s="65">
        <f t="shared" si="296"/>
        <v>1645627</v>
      </c>
      <c r="BB331" s="66"/>
      <c r="BC331" s="66">
        <v>318732385</v>
      </c>
      <c r="BD331" s="66"/>
      <c r="BE331" s="66">
        <f t="shared" si="297"/>
        <v>121737</v>
      </c>
      <c r="BF331" s="66"/>
      <c r="BG331" s="144">
        <f t="shared" si="298"/>
        <v>7.3976058973266728E-2</v>
      </c>
      <c r="BH331" s="66"/>
      <c r="BI331" s="170"/>
      <c r="BJ331" s="66"/>
      <c r="BK331" s="66">
        <f t="shared" si="299"/>
        <v>12279539</v>
      </c>
      <c r="BL331" s="66"/>
      <c r="BM331" s="144">
        <f t="shared" si="300"/>
        <v>7.2922607273774698E-2</v>
      </c>
      <c r="BN331" s="65">
        <f t="shared" si="301"/>
        <v>989852.12732919259</v>
      </c>
      <c r="BO331" s="66"/>
      <c r="BP331" s="66">
        <f t="shared" si="302"/>
        <v>26290684</v>
      </c>
      <c r="BQ331" s="66"/>
      <c r="BR331" s="435">
        <f t="shared" si="283"/>
        <v>8.2485135609925556E-2</v>
      </c>
      <c r="BS331" s="66"/>
      <c r="BT331" s="75"/>
      <c r="BU331" s="170"/>
      <c r="BV331" s="1"/>
      <c r="BW331" s="61">
        <f t="shared" si="189"/>
        <v>322</v>
      </c>
    </row>
    <row r="332" spans="2:75" x14ac:dyDescent="0.3">
      <c r="B332" s="158">
        <f t="shared" si="163"/>
        <v>44232</v>
      </c>
      <c r="C332" s="61"/>
      <c r="D332" s="17">
        <v>126125</v>
      </c>
      <c r="E332" s="16"/>
      <c r="F332" s="16"/>
      <c r="G332" s="16"/>
      <c r="H332" s="16">
        <f t="shared" si="284"/>
        <v>27323787</v>
      </c>
      <c r="I332" s="16"/>
      <c r="J332" s="436">
        <f t="shared" si="285"/>
        <v>4.6373471366766743E-3</v>
      </c>
      <c r="K332" s="16"/>
      <c r="L332" s="16"/>
      <c r="M332" s="16"/>
      <c r="N332" s="16">
        <f t="shared" ref="N332:N363" si="303">SUM(D326:D332)</f>
        <v>852548</v>
      </c>
      <c r="O332" s="16">
        <f t="shared" si="286"/>
        <v>84593.767801857583</v>
      </c>
      <c r="P332" s="41"/>
      <c r="Q332" s="17">
        <f t="shared" si="281"/>
        <v>852548</v>
      </c>
      <c r="R332" s="16"/>
      <c r="S332" s="60">
        <f t="shared" si="282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7"/>
        <v>468115</v>
      </c>
      <c r="AB332" s="33"/>
      <c r="AC332" s="46">
        <f t="shared" si="288"/>
        <v>1.7132142041657694E-2</v>
      </c>
      <c r="AD332" s="33"/>
      <c r="AE332" s="33">
        <f t="shared" si="289"/>
        <v>1449.2724458204334</v>
      </c>
      <c r="AF332" s="50"/>
      <c r="AG332" s="33">
        <f t="shared" si="290"/>
        <v>21500</v>
      </c>
      <c r="AH332" s="33">
        <f t="shared" si="266"/>
        <v>1131611037.060914</v>
      </c>
      <c r="AI332" s="213">
        <f t="shared" si="291"/>
        <v>-5.9533703687502736E-2</v>
      </c>
      <c r="AJ332" s="50"/>
      <c r="AK332" s="10"/>
      <c r="AL332" s="23">
        <f t="shared" si="292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93"/>
        <v>6.7146134288628328E-3</v>
      </c>
      <c r="AS332" s="25"/>
      <c r="AT332" s="25"/>
      <c r="AU332" s="24"/>
      <c r="AV332" s="298">
        <f t="shared" si="294"/>
        <v>0.62751803035208842</v>
      </c>
      <c r="AW332" s="298"/>
      <c r="AX332" s="24">
        <f t="shared" si="295"/>
        <v>53084.114551083592</v>
      </c>
      <c r="AY332" s="308"/>
      <c r="AZ332" s="10"/>
      <c r="BA332" s="65">
        <f t="shared" si="296"/>
        <v>1907154</v>
      </c>
      <c r="BB332" s="66"/>
      <c r="BC332" s="66">
        <v>320639539</v>
      </c>
      <c r="BD332" s="66"/>
      <c r="BE332" s="66">
        <f t="shared" si="297"/>
        <v>126125</v>
      </c>
      <c r="BF332" s="66"/>
      <c r="BG332" s="144">
        <f t="shared" si="298"/>
        <v>6.6132572408940229E-2</v>
      </c>
      <c r="BH332" s="66"/>
      <c r="BI332" s="170"/>
      <c r="BJ332" s="66"/>
      <c r="BK332" s="66">
        <f t="shared" si="299"/>
        <v>12242855</v>
      </c>
      <c r="BL332" s="66"/>
      <c r="BM332" s="144">
        <f t="shared" si="300"/>
        <v>6.9636371581628637E-2</v>
      </c>
      <c r="BN332" s="65">
        <f t="shared" si="301"/>
        <v>992692.07120743033</v>
      </c>
      <c r="BO332" s="66"/>
      <c r="BP332" s="66">
        <f t="shared" si="302"/>
        <v>26416809</v>
      </c>
      <c r="BQ332" s="66"/>
      <c r="BR332" s="435">
        <f t="shared" si="283"/>
        <v>8.2387871072881008E-2</v>
      </c>
      <c r="BS332" s="66"/>
      <c r="BT332" s="75"/>
      <c r="BU332" s="170"/>
      <c r="BV332" s="1"/>
      <c r="BW332" s="61">
        <f t="shared" si="189"/>
        <v>323</v>
      </c>
    </row>
    <row r="333" spans="2:75" x14ac:dyDescent="0.3">
      <c r="B333" s="158">
        <f t="shared" si="163"/>
        <v>44233</v>
      </c>
      <c r="C333" s="61"/>
      <c r="D333" s="17">
        <v>105983</v>
      </c>
      <c r="E333" s="16"/>
      <c r="F333" s="16"/>
      <c r="G333" s="16"/>
      <c r="H333" s="16">
        <f t="shared" si="284"/>
        <v>27429770</v>
      </c>
      <c r="I333" s="16"/>
      <c r="J333" s="436">
        <f t="shared" si="285"/>
        <v>3.8787815173643389E-3</v>
      </c>
      <c r="K333" s="16"/>
      <c r="L333" s="16"/>
      <c r="M333" s="16"/>
      <c r="N333" s="16">
        <f t="shared" si="303"/>
        <v>817799</v>
      </c>
      <c r="O333" s="16">
        <f t="shared" si="286"/>
        <v>84659.78395061729</v>
      </c>
      <c r="P333" s="41"/>
      <c r="Q333" s="17">
        <f t="shared" ref="Q333:Q364" si="304">SUM(D327:D333)</f>
        <v>817799</v>
      </c>
      <c r="R333" s="16"/>
      <c r="S333" s="60">
        <f t="shared" ref="S333:S364" si="305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7"/>
        <v>470845</v>
      </c>
      <c r="AB333" s="33"/>
      <c r="AC333" s="46">
        <f t="shared" si="288"/>
        <v>1.7165473862886929E-2</v>
      </c>
      <c r="AD333" s="33"/>
      <c r="AE333" s="33">
        <f t="shared" si="289"/>
        <v>1453.2253086419753</v>
      </c>
      <c r="AF333" s="50"/>
      <c r="AG333" s="33">
        <f t="shared" si="290"/>
        <v>21341</v>
      </c>
      <c r="AH333" s="33">
        <f t="shared" si="266"/>
        <v>1131336847.060914</v>
      </c>
      <c r="AI333" s="213">
        <f t="shared" si="291"/>
        <v>-4.347631213302855E-2</v>
      </c>
      <c r="AJ333" s="50"/>
      <c r="AK333" s="10"/>
      <c r="AL333" s="23">
        <f t="shared" si="292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93"/>
        <v>7.1355881305030875E-3</v>
      </c>
      <c r="AS333" s="25"/>
      <c r="AT333" s="25"/>
      <c r="AU333" s="24"/>
      <c r="AV333" s="298">
        <f t="shared" si="294"/>
        <v>0.62955383876714965</v>
      </c>
      <c r="AW333" s="298"/>
      <c r="AX333" s="24">
        <f t="shared" si="295"/>
        <v>53297.891975308645</v>
      </c>
      <c r="AY333" s="308"/>
      <c r="AZ333" s="10"/>
      <c r="BA333" s="65">
        <f t="shared" si="296"/>
        <v>1755864</v>
      </c>
      <c r="BB333" s="66"/>
      <c r="BC333" s="66">
        <v>322395403</v>
      </c>
      <c r="BD333" s="66"/>
      <c r="BE333" s="66">
        <f t="shared" si="297"/>
        <v>105983</v>
      </c>
      <c r="BF333" s="66"/>
      <c r="BG333" s="144">
        <f t="shared" si="298"/>
        <v>6.0359458363517901E-2</v>
      </c>
      <c r="BH333" s="66"/>
      <c r="BI333" s="170"/>
      <c r="BJ333" s="66"/>
      <c r="BK333" s="66">
        <f t="shared" si="299"/>
        <v>11834372</v>
      </c>
      <c r="BL333" s="66"/>
      <c r="BM333" s="144">
        <f t="shared" si="300"/>
        <v>6.9103709094153878E-2</v>
      </c>
      <c r="BN333" s="65">
        <f t="shared" si="301"/>
        <v>995047.54012345674</v>
      </c>
      <c r="BO333" s="66"/>
      <c r="BP333" s="66">
        <f t="shared" si="302"/>
        <v>26522792</v>
      </c>
      <c r="BQ333" s="66"/>
      <c r="BR333" s="435">
        <f t="shared" si="283"/>
        <v>8.2267897597783052E-2</v>
      </c>
      <c r="BS333" s="66"/>
      <c r="BT333" s="75"/>
      <c r="BU333" s="170"/>
      <c r="BV333" s="1"/>
      <c r="BW333" s="61">
        <f t="shared" si="189"/>
        <v>324</v>
      </c>
    </row>
    <row r="334" spans="2:75" x14ac:dyDescent="0.3">
      <c r="B334" s="347">
        <f t="shared" si="163"/>
        <v>44234</v>
      </c>
      <c r="C334" s="61"/>
      <c r="D334" s="17">
        <v>91256</v>
      </c>
      <c r="E334" s="16"/>
      <c r="F334" s="16"/>
      <c r="G334" s="16"/>
      <c r="H334" s="16">
        <f t="shared" si="284"/>
        <v>27521026</v>
      </c>
      <c r="I334" s="16"/>
      <c r="J334" s="436">
        <f t="shared" si="285"/>
        <v>3.326896288229905E-3</v>
      </c>
      <c r="K334" s="16"/>
      <c r="L334" s="16"/>
      <c r="M334" s="16"/>
      <c r="N334" s="16">
        <f t="shared" si="303"/>
        <v>801239</v>
      </c>
      <c r="O334" s="16">
        <f t="shared" si="286"/>
        <v>84680.08</v>
      </c>
      <c r="P334" s="41"/>
      <c r="Q334" s="17">
        <f t="shared" si="304"/>
        <v>801239</v>
      </c>
      <c r="R334" s="16"/>
      <c r="S334" s="60">
        <f t="shared" si="305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7"/>
        <v>472160</v>
      </c>
      <c r="AB334" s="33"/>
      <c r="AC334" s="46">
        <f t="shared" si="288"/>
        <v>1.7156337122024447E-2</v>
      </c>
      <c r="AD334" s="33"/>
      <c r="AE334" s="33">
        <f t="shared" si="289"/>
        <v>1452.8</v>
      </c>
      <c r="AF334" s="50"/>
      <c r="AG334" s="33">
        <f t="shared" si="290"/>
        <v>20770</v>
      </c>
      <c r="AH334" s="33">
        <f t="shared" si="266"/>
        <v>1131030398.060914</v>
      </c>
      <c r="AI334" s="213">
        <f t="shared" si="291"/>
        <v>-7.0818234688856077E-2</v>
      </c>
      <c r="AJ334" s="50"/>
      <c r="AK334" s="10"/>
      <c r="AL334" s="23">
        <f t="shared" si="292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93"/>
        <v>5.0179757763796394E-3</v>
      </c>
      <c r="AS334" s="25"/>
      <c r="AT334" s="25"/>
      <c r="AU334" s="24"/>
      <c r="AV334" s="298">
        <f t="shared" si="294"/>
        <v>0.63061493419613057</v>
      </c>
      <c r="AW334" s="298"/>
      <c r="AX334" s="24">
        <f t="shared" si="295"/>
        <v>53400.523076923077</v>
      </c>
      <c r="AY334" s="308"/>
      <c r="AZ334" s="10"/>
      <c r="BA334" s="65">
        <f t="shared" si="296"/>
        <v>1409563</v>
      </c>
      <c r="BB334" s="66"/>
      <c r="BC334" s="66">
        <v>323804966</v>
      </c>
      <c r="BD334" s="66"/>
      <c r="BE334" s="66">
        <f t="shared" si="297"/>
        <v>91256</v>
      </c>
      <c r="BF334" s="66"/>
      <c r="BG334" s="144">
        <f t="shared" si="298"/>
        <v>6.4740632380390239E-2</v>
      </c>
      <c r="BH334" s="66"/>
      <c r="BI334" s="170"/>
      <c r="BJ334" s="66"/>
      <c r="BK334" s="66">
        <f t="shared" si="299"/>
        <v>11668363</v>
      </c>
      <c r="BL334" s="66"/>
      <c r="BM334" s="144">
        <f t="shared" si="300"/>
        <v>6.8667644295947947E-2</v>
      </c>
      <c r="BN334" s="65">
        <f t="shared" si="301"/>
        <v>996322.97230769228</v>
      </c>
      <c r="BO334" s="66"/>
      <c r="BP334" s="66">
        <f t="shared" si="302"/>
        <v>26614048</v>
      </c>
      <c r="BQ334" s="66"/>
      <c r="BR334" s="435">
        <f t="shared" si="283"/>
        <v>8.2191599248048586E-2</v>
      </c>
      <c r="BS334" s="66"/>
      <c r="BT334" s="75"/>
      <c r="BU334" s="170"/>
      <c r="BV334" s="1"/>
      <c r="BW334" s="61">
        <f t="shared" si="189"/>
        <v>325</v>
      </c>
    </row>
    <row r="335" spans="2:75" x14ac:dyDescent="0.3">
      <c r="B335" s="158">
        <f t="shared" si="163"/>
        <v>44235</v>
      </c>
      <c r="C335" s="61"/>
      <c r="D335" s="17">
        <v>90346</v>
      </c>
      <c r="E335" s="16"/>
      <c r="F335" s="16"/>
      <c r="G335" s="16"/>
      <c r="H335" s="16">
        <f t="shared" si="284"/>
        <v>27611372</v>
      </c>
      <c r="I335" s="16"/>
      <c r="J335" s="436">
        <f t="shared" si="285"/>
        <v>3.2827991223873705E-3</v>
      </c>
      <c r="K335" s="16"/>
      <c r="L335" s="16"/>
      <c r="M335" s="16"/>
      <c r="N335" s="16">
        <f t="shared" si="303"/>
        <v>765133</v>
      </c>
      <c r="O335" s="16">
        <f t="shared" si="286"/>
        <v>84697.460122699384</v>
      </c>
      <c r="P335" s="41"/>
      <c r="Q335" s="17">
        <f t="shared" si="304"/>
        <v>765133</v>
      </c>
      <c r="R335" s="16"/>
      <c r="S335" s="60">
        <f t="shared" si="305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7"/>
        <v>473752</v>
      </c>
      <c r="AB335" s="33"/>
      <c r="AC335" s="46">
        <f t="shared" si="288"/>
        <v>1.7157858001406089E-2</v>
      </c>
      <c r="AD335" s="33"/>
      <c r="AE335" s="33">
        <f t="shared" si="289"/>
        <v>1453.2269938650306</v>
      </c>
      <c r="AF335" s="50"/>
      <c r="AG335" s="33">
        <f t="shared" si="290"/>
        <v>20447</v>
      </c>
      <c r="AH335" s="33">
        <f t="shared" si="266"/>
        <v>1130780704.060914</v>
      </c>
      <c r="AI335" s="213">
        <f t="shared" si="291"/>
        <v>-8.6004201868490462E-2</v>
      </c>
      <c r="AJ335" s="50"/>
      <c r="AK335" s="10"/>
      <c r="AL335" s="23">
        <f t="shared" si="292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93"/>
        <v>9.0837485314174387E-3</v>
      </c>
      <c r="AS335" s="25"/>
      <c r="AT335" s="25"/>
      <c r="AU335" s="24"/>
      <c r="AV335" s="298">
        <f t="shared" si="294"/>
        <v>0.63426112979825844</v>
      </c>
      <c r="AW335" s="298"/>
      <c r="AX335" s="24">
        <f t="shared" si="295"/>
        <v>53720.306748466261</v>
      </c>
      <c r="AY335" s="308"/>
      <c r="AZ335" s="10"/>
      <c r="BA335" s="65">
        <f t="shared" si="296"/>
        <v>1705328</v>
      </c>
      <c r="BB335" s="66"/>
      <c r="BC335" s="66">
        <v>325510294</v>
      </c>
      <c r="BD335" s="66"/>
      <c r="BE335" s="66">
        <f t="shared" si="297"/>
        <v>90346</v>
      </c>
      <c r="BF335" s="66"/>
      <c r="BG335" s="144">
        <f t="shared" si="298"/>
        <v>5.2978664514978936E-2</v>
      </c>
      <c r="BH335" s="66"/>
      <c r="BI335" s="170"/>
      <c r="BJ335" s="66"/>
      <c r="BK335" s="66">
        <f t="shared" si="299"/>
        <v>11335542</v>
      </c>
      <c r="BL335" s="66"/>
      <c r="BM335" s="144">
        <f t="shared" si="300"/>
        <v>6.7498581011829872E-2</v>
      </c>
      <c r="BN335" s="65">
        <f t="shared" si="301"/>
        <v>998497.83435582824</v>
      </c>
      <c r="BO335" s="66"/>
      <c r="BP335" s="66">
        <f t="shared" si="302"/>
        <v>26704394</v>
      </c>
      <c r="BQ335" s="66"/>
      <c r="BR335" s="435">
        <f t="shared" si="283"/>
        <v>8.2038554516497109E-2</v>
      </c>
      <c r="BS335" s="66"/>
      <c r="BT335" s="75"/>
      <c r="BU335" s="170"/>
      <c r="BV335" s="1"/>
      <c r="BW335" s="61">
        <f t="shared" si="189"/>
        <v>326</v>
      </c>
    </row>
    <row r="336" spans="2:75" x14ac:dyDescent="0.3">
      <c r="B336" s="158">
        <f t="shared" si="163"/>
        <v>44236</v>
      </c>
      <c r="C336" s="61"/>
      <c r="D336" s="17">
        <v>95542</v>
      </c>
      <c r="E336" s="16"/>
      <c r="F336" s="16"/>
      <c r="G336" s="16"/>
      <c r="H336" s="16">
        <f t="shared" si="284"/>
        <v>27706914</v>
      </c>
      <c r="I336" s="16"/>
      <c r="J336" s="436">
        <f t="shared" si="285"/>
        <v>3.4602409470996225E-3</v>
      </c>
      <c r="K336" s="16"/>
      <c r="L336" s="16"/>
      <c r="M336" s="16"/>
      <c r="N336" s="16">
        <f t="shared" si="303"/>
        <v>744448</v>
      </c>
      <c r="O336" s="16">
        <f t="shared" si="286"/>
        <v>84730.623853211015</v>
      </c>
      <c r="P336" s="41"/>
      <c r="Q336" s="17">
        <f t="shared" si="304"/>
        <v>744448</v>
      </c>
      <c r="R336" s="16"/>
      <c r="S336" s="60">
        <f t="shared" si="305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7"/>
        <v>477017</v>
      </c>
      <c r="AB336" s="33"/>
      <c r="AC336" s="46">
        <f t="shared" si="288"/>
        <v>1.7216533028542983E-2</v>
      </c>
      <c r="AD336" s="33"/>
      <c r="AE336" s="33">
        <f t="shared" si="289"/>
        <v>1458.7675840978593</v>
      </c>
      <c r="AF336" s="50"/>
      <c r="AG336" s="33">
        <f t="shared" si="290"/>
        <v>20005</v>
      </c>
      <c r="AH336" s="33">
        <f t="shared" si="266"/>
        <v>1130559877.060914</v>
      </c>
      <c r="AI336" s="213">
        <f t="shared" si="291"/>
        <v>-9.7491653884327345E-2</v>
      </c>
      <c r="AJ336" s="50"/>
      <c r="AK336" s="10"/>
      <c r="AL336" s="23">
        <f t="shared" si="292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93"/>
        <v>7.2173984543894131E-3</v>
      </c>
      <c r="AS336" s="25"/>
      <c r="AT336" s="25"/>
      <c r="AU336" s="24"/>
      <c r="AV336" s="298">
        <f t="shared" si="294"/>
        <v>0.63663593137799468</v>
      </c>
      <c r="AW336" s="298"/>
      <c r="AX336" s="24">
        <f t="shared" si="295"/>
        <v>53942.559633027522</v>
      </c>
      <c r="AY336" s="308"/>
      <c r="AZ336" s="10"/>
      <c r="BA336" s="65">
        <f t="shared" si="296"/>
        <v>1661500</v>
      </c>
      <c r="BB336" s="66"/>
      <c r="BC336" s="66">
        <v>327171794</v>
      </c>
      <c r="BD336" s="66"/>
      <c r="BE336" s="66">
        <f t="shared" si="297"/>
        <v>95542</v>
      </c>
      <c r="BF336" s="66"/>
      <c r="BG336" s="144">
        <f t="shared" si="298"/>
        <v>5.7503460728257599E-2</v>
      </c>
      <c r="BH336" s="66"/>
      <c r="BI336" s="170"/>
      <c r="BJ336" s="66"/>
      <c r="BK336" s="66">
        <f t="shared" si="299"/>
        <v>11556832</v>
      </c>
      <c r="BL336" s="66"/>
      <c r="BM336" s="144">
        <f t="shared" si="300"/>
        <v>6.4416269095198403E-2</v>
      </c>
      <c r="BN336" s="65">
        <f t="shared" si="301"/>
        <v>1000525.3639143731</v>
      </c>
      <c r="BO336" s="66"/>
      <c r="BP336" s="66">
        <f t="shared" si="302"/>
        <v>26799936</v>
      </c>
      <c r="BQ336" s="66"/>
      <c r="BR336" s="435">
        <f t="shared" si="283"/>
        <v>8.1913956189022821E-2</v>
      </c>
      <c r="BS336" s="66"/>
      <c r="BT336" s="75"/>
      <c r="BU336" s="170"/>
      <c r="BV336" s="1"/>
      <c r="BW336" s="61">
        <f t="shared" si="189"/>
        <v>327</v>
      </c>
    </row>
    <row r="337" spans="2:75" x14ac:dyDescent="0.3">
      <c r="B337" s="158">
        <f t="shared" si="163"/>
        <v>44237</v>
      </c>
      <c r="C337" s="61"/>
      <c r="D337" s="17">
        <v>96806</v>
      </c>
      <c r="E337" s="16"/>
      <c r="F337" s="16"/>
      <c r="G337" s="16"/>
      <c r="H337" s="16">
        <f t="shared" si="284"/>
        <v>27803720</v>
      </c>
      <c r="I337" s="16"/>
      <c r="J337" s="436">
        <f t="shared" si="285"/>
        <v>3.4939293491869933E-3</v>
      </c>
      <c r="K337" s="16"/>
      <c r="L337" s="16"/>
      <c r="M337" s="16"/>
      <c r="N337" s="16">
        <f t="shared" si="303"/>
        <v>727795</v>
      </c>
      <c r="O337" s="16">
        <f t="shared" si="286"/>
        <v>84767.439024390245</v>
      </c>
      <c r="P337" s="41"/>
      <c r="Q337" s="17">
        <f t="shared" si="304"/>
        <v>727795</v>
      </c>
      <c r="R337" s="16"/>
      <c r="S337" s="60">
        <f t="shared" si="305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7"/>
        <v>480449</v>
      </c>
      <c r="AB337" s="33"/>
      <c r="AC337" s="46">
        <f t="shared" si="288"/>
        <v>1.7280025838269125E-2</v>
      </c>
      <c r="AD337" s="33"/>
      <c r="AE337" s="33">
        <f t="shared" si="289"/>
        <v>1464.7835365853659</v>
      </c>
      <c r="AF337" s="50"/>
      <c r="AG337" s="33">
        <f t="shared" si="290"/>
        <v>19438</v>
      </c>
      <c r="AH337" s="33">
        <f t="shared" si="266"/>
        <v>1130345194.060914</v>
      </c>
      <c r="AI337" s="213">
        <f t="shared" si="291"/>
        <v>-0.11512723630900897</v>
      </c>
      <c r="AJ337" s="50"/>
      <c r="AK337" s="10"/>
      <c r="AL337" s="23">
        <f t="shared" si="292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93"/>
        <v>1.0664078796694888E-2</v>
      </c>
      <c r="AS337" s="25"/>
      <c r="AT337" s="25"/>
      <c r="AU337" s="24"/>
      <c r="AV337" s="298">
        <f t="shared" si="294"/>
        <v>0.64118481267974214</v>
      </c>
      <c r="AW337" s="298"/>
      <c r="AX337" s="24">
        <f t="shared" si="295"/>
        <v>54351.594512195123</v>
      </c>
      <c r="AY337" s="308"/>
      <c r="AZ337" s="10"/>
      <c r="BA337" s="65">
        <f t="shared" si="296"/>
        <v>1303452</v>
      </c>
      <c r="BB337" s="66"/>
      <c r="BC337" s="66">
        <v>328475246</v>
      </c>
      <c r="BD337" s="66"/>
      <c r="BE337" s="66">
        <f t="shared" si="297"/>
        <v>96806</v>
      </c>
      <c r="BF337" s="66"/>
      <c r="BG337" s="144">
        <f t="shared" si="298"/>
        <v>7.4268941242178463E-2</v>
      </c>
      <c r="BH337" s="66"/>
      <c r="BI337" s="170"/>
      <c r="BJ337" s="66"/>
      <c r="BK337" s="66">
        <f t="shared" si="299"/>
        <v>11388488</v>
      </c>
      <c r="BL337" s="66"/>
      <c r="BM337" s="144">
        <f t="shared" si="300"/>
        <v>6.3906200717777459E-2</v>
      </c>
      <c r="BN337" s="65">
        <f t="shared" si="301"/>
        <v>1001448.9207317074</v>
      </c>
      <c r="BO337" s="66"/>
      <c r="BP337" s="66">
        <f t="shared" si="302"/>
        <v>26896742</v>
      </c>
      <c r="BQ337" s="66"/>
      <c r="BR337" s="435">
        <f t="shared" ref="BR337:BR368" si="306">+BP337/BC337</f>
        <v>8.1883619321499804E-2</v>
      </c>
      <c r="BS337" s="66"/>
      <c r="BT337" s="75"/>
      <c r="BU337" s="170"/>
      <c r="BV337" s="1"/>
      <c r="BW337" s="61">
        <f t="shared" si="189"/>
        <v>328</v>
      </c>
    </row>
    <row r="338" spans="2:75" x14ac:dyDescent="0.3">
      <c r="B338" s="158">
        <f t="shared" si="163"/>
        <v>44238</v>
      </c>
      <c r="C338" s="61"/>
      <c r="D338" s="17">
        <v>104244</v>
      </c>
      <c r="E338" s="16"/>
      <c r="F338" s="16"/>
      <c r="G338" s="16"/>
      <c r="H338" s="16">
        <f t="shared" si="284"/>
        <v>27907964</v>
      </c>
      <c r="I338" s="16"/>
      <c r="J338" s="436">
        <f t="shared" si="285"/>
        <v>3.7492824701155099E-3</v>
      </c>
      <c r="K338" s="16"/>
      <c r="L338" s="16"/>
      <c r="M338" s="16"/>
      <c r="N338" s="16">
        <f t="shared" si="303"/>
        <v>710302</v>
      </c>
      <c r="O338" s="16">
        <f t="shared" si="286"/>
        <v>84826.638297872341</v>
      </c>
      <c r="P338" s="41"/>
      <c r="Q338" s="17">
        <f t="shared" si="304"/>
        <v>710302</v>
      </c>
      <c r="R338" s="16"/>
      <c r="S338" s="60">
        <f t="shared" si="305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7"/>
        <v>483699</v>
      </c>
      <c r="AB338" s="33"/>
      <c r="AC338" s="46">
        <f t="shared" si="288"/>
        <v>1.7331934353935673E-2</v>
      </c>
      <c r="AD338" s="33"/>
      <c r="AE338" s="33">
        <f t="shared" si="289"/>
        <v>1470.2097264437689</v>
      </c>
      <c r="AF338" s="50"/>
      <c r="AG338" s="33">
        <f t="shared" si="290"/>
        <v>19156</v>
      </c>
      <c r="AH338" s="33">
        <f t="shared" si="266"/>
        <v>1130121566.060914</v>
      </c>
      <c r="AI338" s="213">
        <f t="shared" si="291"/>
        <v>-0.11232622798887859</v>
      </c>
      <c r="AJ338" s="50"/>
      <c r="AK338" s="10"/>
      <c r="AL338" s="23">
        <f t="shared" si="292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93"/>
        <v>7.0117089368942273E-3</v>
      </c>
      <c r="AS338" s="25"/>
      <c r="AT338" s="25"/>
      <c r="AU338" s="24"/>
      <c r="AV338" s="298">
        <f t="shared" si="294"/>
        <v>0.64326881746013431</v>
      </c>
      <c r="AW338" s="298"/>
      <c r="AX338" s="24">
        <f t="shared" si="295"/>
        <v>54566.331306990884</v>
      </c>
      <c r="AY338" s="308"/>
      <c r="AZ338" s="10"/>
      <c r="BA338" s="65">
        <f t="shared" si="296"/>
        <v>1750000</v>
      </c>
      <c r="BB338" s="66"/>
      <c r="BC338" s="66">
        <f>328475246+1750000</f>
        <v>330225246</v>
      </c>
      <c r="BD338" s="66"/>
      <c r="BE338" s="66">
        <f t="shared" si="297"/>
        <v>104244</v>
      </c>
      <c r="BF338" s="66"/>
      <c r="BG338" s="144">
        <f t="shared" si="298"/>
        <v>5.9568000000000003E-2</v>
      </c>
      <c r="BH338" s="66"/>
      <c r="BI338" s="170"/>
      <c r="BJ338" s="66"/>
      <c r="BK338" s="66">
        <f t="shared" si="299"/>
        <v>11492861</v>
      </c>
      <c r="BL338" s="66"/>
      <c r="BM338" s="144">
        <f t="shared" si="300"/>
        <v>6.180375800246779E-2</v>
      </c>
      <c r="BN338" s="65">
        <f t="shared" si="301"/>
        <v>1003724.1519756839</v>
      </c>
      <c r="BO338" s="66"/>
      <c r="BP338" s="66">
        <f t="shared" si="302"/>
        <v>27000986</v>
      </c>
      <c r="BQ338" s="66"/>
      <c r="BR338" s="435">
        <f t="shared" si="306"/>
        <v>8.1765359635768128E-2</v>
      </c>
      <c r="BS338" s="66"/>
      <c r="BT338" s="75"/>
      <c r="BU338" s="170"/>
      <c r="BV338" s="1"/>
      <c r="BW338" s="61">
        <f t="shared" si="189"/>
        <v>329</v>
      </c>
    </row>
    <row r="339" spans="2:75" x14ac:dyDescent="0.3">
      <c r="B339" s="158">
        <f t="shared" si="163"/>
        <v>44239</v>
      </c>
      <c r="C339" s="61"/>
      <c r="D339" s="17">
        <v>100288</v>
      </c>
      <c r="E339" s="16"/>
      <c r="F339" s="16"/>
      <c r="G339" s="16"/>
      <c r="H339" s="16">
        <f t="shared" si="284"/>
        <v>28008252</v>
      </c>
      <c r="I339" s="16"/>
      <c r="J339" s="436">
        <f t="shared" si="285"/>
        <v>3.5935262063545733E-3</v>
      </c>
      <c r="K339" s="16"/>
      <c r="L339" s="16"/>
      <c r="M339" s="16"/>
      <c r="N339" s="16">
        <f t="shared" si="303"/>
        <v>684465</v>
      </c>
      <c r="O339" s="16">
        <f t="shared" si="286"/>
        <v>84873.490909090906</v>
      </c>
      <c r="P339" s="41"/>
      <c r="Q339" s="17">
        <f t="shared" si="304"/>
        <v>684465</v>
      </c>
      <c r="R339" s="16"/>
      <c r="S339" s="60">
        <f t="shared" si="305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7"/>
        <v>486607</v>
      </c>
      <c r="AB339" s="33"/>
      <c r="AC339" s="46">
        <f t="shared" si="288"/>
        <v>1.7373701150646601E-2</v>
      </c>
      <c r="AD339" s="33"/>
      <c r="AE339" s="33">
        <f t="shared" si="289"/>
        <v>1474.5666666666666</v>
      </c>
      <c r="AF339" s="50"/>
      <c r="AG339" s="33">
        <f t="shared" si="290"/>
        <v>18492</v>
      </c>
      <c r="AH339" s="33">
        <f t="shared" si="266"/>
        <v>1129883493.060914</v>
      </c>
      <c r="AI339" s="213">
        <f t="shared" si="291"/>
        <v>-0.13990697674418603</v>
      </c>
      <c r="AJ339" s="50"/>
      <c r="AK339" s="10"/>
      <c r="AL339" s="23">
        <f t="shared" si="292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93"/>
        <v>4.9012598536690771E-3</v>
      </c>
      <c r="AS339" s="25"/>
      <c r="AT339" s="25"/>
      <c r="AU339" s="24"/>
      <c r="AV339" s="298">
        <f t="shared" si="294"/>
        <v>0.64410702959970512</v>
      </c>
      <c r="AW339" s="298"/>
      <c r="AX339" s="24">
        <f t="shared" si="295"/>
        <v>54667.612121212122</v>
      </c>
      <c r="AY339" s="308"/>
      <c r="AZ339" s="10"/>
      <c r="BA339" s="65">
        <f t="shared" si="296"/>
        <v>1904676</v>
      </c>
      <c r="BB339" s="66"/>
      <c r="BC339" s="66">
        <v>332129922</v>
      </c>
      <c r="BD339" s="66"/>
      <c r="BE339" s="66">
        <f t="shared" si="297"/>
        <v>100288</v>
      </c>
      <c r="BF339" s="66"/>
      <c r="BG339" s="144">
        <f t="shared" si="298"/>
        <v>5.2653574676217896E-2</v>
      </c>
      <c r="BH339" s="66"/>
      <c r="BI339" s="170"/>
      <c r="BJ339" s="66"/>
      <c r="BK339" s="66">
        <f t="shared" si="299"/>
        <v>11490383</v>
      </c>
      <c r="BL339" s="66"/>
      <c r="BM339" s="144">
        <f t="shared" si="300"/>
        <v>5.9568510466535364E-2</v>
      </c>
      <c r="BN339" s="65">
        <f t="shared" si="301"/>
        <v>1006454.3090909091</v>
      </c>
      <c r="BO339" s="66"/>
      <c r="BP339" s="66">
        <f t="shared" si="302"/>
        <v>27101274</v>
      </c>
      <c r="BQ339" s="66"/>
      <c r="BR339" s="435">
        <f t="shared" si="306"/>
        <v>8.1598411359034367E-2</v>
      </c>
      <c r="BS339" s="66"/>
      <c r="BT339" s="75"/>
      <c r="BU339" s="170"/>
      <c r="BV339" s="1"/>
      <c r="BW339" s="61">
        <f t="shared" si="189"/>
        <v>330</v>
      </c>
    </row>
    <row r="340" spans="2:75" x14ac:dyDescent="0.3">
      <c r="B340" s="158">
        <f t="shared" si="163"/>
        <v>44240</v>
      </c>
      <c r="C340" s="61"/>
      <c r="D340" s="17">
        <v>86484</v>
      </c>
      <c r="E340" s="16"/>
      <c r="F340" s="16"/>
      <c r="G340" s="16"/>
      <c r="H340" s="16">
        <f t="shared" si="284"/>
        <v>28094736</v>
      </c>
      <c r="I340" s="16"/>
      <c r="J340" s="436">
        <f t="shared" si="285"/>
        <v>3.0878042656856987E-3</v>
      </c>
      <c r="K340" s="16"/>
      <c r="L340" s="16"/>
      <c r="M340" s="16"/>
      <c r="N340" s="16">
        <f t="shared" si="303"/>
        <v>664966</v>
      </c>
      <c r="O340" s="16">
        <f t="shared" si="286"/>
        <v>84878.356495468281</v>
      </c>
      <c r="P340" s="41"/>
      <c r="Q340" s="17">
        <f t="shared" si="304"/>
        <v>664966</v>
      </c>
      <c r="R340" s="16"/>
      <c r="S340" s="60">
        <f t="shared" si="305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7"/>
        <v>488879</v>
      </c>
      <c r="AB340" s="33"/>
      <c r="AC340" s="46">
        <f t="shared" si="288"/>
        <v>1.7401088944206489E-2</v>
      </c>
      <c r="AD340" s="33"/>
      <c r="AE340" s="33">
        <f t="shared" si="289"/>
        <v>1476.97583081571</v>
      </c>
      <c r="AF340" s="50"/>
      <c r="AG340" s="33">
        <f t="shared" si="290"/>
        <v>18034</v>
      </c>
      <c r="AH340" s="33">
        <f t="shared" si="266"/>
        <v>1129649074.060914</v>
      </c>
      <c r="AI340" s="213">
        <f t="shared" si="291"/>
        <v>-0.15495993627290192</v>
      </c>
      <c r="AJ340" s="50"/>
      <c r="AK340" s="10"/>
      <c r="AL340" s="23">
        <f t="shared" si="292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93"/>
        <v>6.2645258019927812E-3</v>
      </c>
      <c r="AS340" s="25"/>
      <c r="AT340" s="25"/>
      <c r="AU340" s="24"/>
      <c r="AV340" s="298">
        <f t="shared" si="294"/>
        <v>0.64614687961474349</v>
      </c>
      <c r="AW340" s="298"/>
      <c r="AX340" s="24">
        <f t="shared" si="295"/>
        <v>54843.88519637462</v>
      </c>
      <c r="AY340" s="308"/>
      <c r="AZ340" s="10"/>
      <c r="BA340" s="65">
        <f t="shared" si="296"/>
        <v>1698436</v>
      </c>
      <c r="BB340" s="66"/>
      <c r="BC340" s="66">
        <v>333828358</v>
      </c>
      <c r="BD340" s="66"/>
      <c r="BE340" s="66">
        <f t="shared" si="297"/>
        <v>86484</v>
      </c>
      <c r="BF340" s="66"/>
      <c r="BG340" s="144">
        <f t="shared" si="298"/>
        <v>5.0919787380860983E-2</v>
      </c>
      <c r="BH340" s="66"/>
      <c r="BI340" s="170"/>
      <c r="BJ340" s="66"/>
      <c r="BK340" s="66">
        <f t="shared" si="299"/>
        <v>11432955</v>
      </c>
      <c r="BL340" s="66"/>
      <c r="BM340" s="144">
        <f t="shared" si="300"/>
        <v>5.8162216154966064E-2</v>
      </c>
      <c r="BN340" s="65">
        <f t="shared" si="301"/>
        <v>1008544.8882175226</v>
      </c>
      <c r="BO340" s="66"/>
      <c r="BP340" s="66">
        <f t="shared" si="302"/>
        <v>27187758</v>
      </c>
      <c r="BQ340" s="66"/>
      <c r="BR340" s="435">
        <f t="shared" si="306"/>
        <v>8.1442326118981181E-2</v>
      </c>
      <c r="BS340" s="66"/>
      <c r="BT340" s="75"/>
      <c r="BU340" s="170"/>
      <c r="BV340" s="1"/>
      <c r="BW340" s="61">
        <f t="shared" si="189"/>
        <v>331</v>
      </c>
    </row>
    <row r="341" spans="2:75" x14ac:dyDescent="0.3">
      <c r="B341" s="347">
        <f t="shared" si="163"/>
        <v>44241</v>
      </c>
      <c r="C341" s="61"/>
      <c r="D341" s="17">
        <v>64297</v>
      </c>
      <c r="E341" s="16"/>
      <c r="F341" s="16"/>
      <c r="G341" s="16"/>
      <c r="H341" s="16">
        <f t="shared" si="284"/>
        <v>28159033</v>
      </c>
      <c r="I341" s="16"/>
      <c r="J341" s="436">
        <f t="shared" si="285"/>
        <v>2.2885781877430705E-3</v>
      </c>
      <c r="K341" s="16"/>
      <c r="L341" s="16"/>
      <c r="M341" s="16"/>
      <c r="N341" s="16">
        <f t="shared" si="303"/>
        <v>638007</v>
      </c>
      <c r="O341" s="16">
        <f t="shared" si="286"/>
        <v>84816.364457831325</v>
      </c>
      <c r="P341" s="41"/>
      <c r="Q341" s="17">
        <f t="shared" si="304"/>
        <v>638007</v>
      </c>
      <c r="R341" s="16"/>
      <c r="S341" s="60">
        <f t="shared" si="305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7"/>
        <v>489990</v>
      </c>
      <c r="AB341" s="33"/>
      <c r="AC341" s="46">
        <f t="shared" si="288"/>
        <v>1.7400810603119786E-2</v>
      </c>
      <c r="AD341" s="33"/>
      <c r="AE341" s="33">
        <f t="shared" si="289"/>
        <v>1475.8734939759036</v>
      </c>
      <c r="AF341" s="50"/>
      <c r="AG341" s="33">
        <f t="shared" si="290"/>
        <v>17830</v>
      </c>
      <c r="AH341" s="33">
        <f t="shared" si="266"/>
        <v>1129400268.060914</v>
      </c>
      <c r="AI341" s="213">
        <f t="shared" si="291"/>
        <v>-0.14155031295137216</v>
      </c>
      <c r="AJ341" s="50"/>
      <c r="AK341" s="10"/>
      <c r="AL341" s="23">
        <f t="shared" si="292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93"/>
        <v>3.9090357326255253E-3</v>
      </c>
      <c r="AS341" s="25"/>
      <c r="AT341" s="25"/>
      <c r="AU341" s="24"/>
      <c r="AV341" s="298">
        <f t="shared" si="294"/>
        <v>0.64719154240843424</v>
      </c>
      <c r="AW341" s="298"/>
      <c r="AX341" s="24">
        <f t="shared" si="295"/>
        <v>54892.433734939761</v>
      </c>
      <c r="AY341" s="308"/>
      <c r="AZ341" s="10"/>
      <c r="BA341" s="65">
        <f t="shared" si="296"/>
        <v>1285060</v>
      </c>
      <c r="BB341" s="66"/>
      <c r="BC341" s="66">
        <v>335113418</v>
      </c>
      <c r="BD341" s="66"/>
      <c r="BE341" s="66">
        <f t="shared" si="297"/>
        <v>64297</v>
      </c>
      <c r="BF341" s="66"/>
      <c r="BG341" s="144">
        <f t="shared" si="298"/>
        <v>5.0034239646397832E-2</v>
      </c>
      <c r="BH341" s="66"/>
      <c r="BI341" s="170"/>
      <c r="BJ341" s="66"/>
      <c r="BK341" s="66">
        <f t="shared" si="299"/>
        <v>11308452</v>
      </c>
      <c r="BL341" s="66"/>
      <c r="BM341" s="144">
        <f t="shared" si="300"/>
        <v>5.6418597346480311E-2</v>
      </c>
      <c r="BN341" s="65">
        <f t="shared" si="301"/>
        <v>1009377.765060241</v>
      </c>
      <c r="BO341" s="66"/>
      <c r="BP341" s="66">
        <f t="shared" si="302"/>
        <v>27252055</v>
      </c>
      <c r="BQ341" s="66"/>
      <c r="BR341" s="435">
        <f t="shared" si="306"/>
        <v>8.1321885475800312E-2</v>
      </c>
      <c r="BS341" s="66"/>
      <c r="BT341" s="75"/>
      <c r="BU341" s="170"/>
      <c r="BV341" s="1"/>
      <c r="BW341" s="61">
        <f t="shared" si="189"/>
        <v>332</v>
      </c>
    </row>
    <row r="342" spans="2:75" x14ac:dyDescent="0.3">
      <c r="B342" s="158">
        <f t="shared" si="163"/>
        <v>44242</v>
      </c>
      <c r="C342" s="61"/>
      <c r="D342" s="17">
        <v>52785</v>
      </c>
      <c r="E342" s="16"/>
      <c r="F342" s="16"/>
      <c r="G342" s="16"/>
      <c r="H342" s="16">
        <f t="shared" si="284"/>
        <v>28211818</v>
      </c>
      <c r="I342" s="16"/>
      <c r="J342" s="436">
        <f t="shared" si="285"/>
        <v>1.8745317000054653E-3</v>
      </c>
      <c r="K342" s="16"/>
      <c r="L342" s="16"/>
      <c r="M342" s="16"/>
      <c r="N342" s="16">
        <f t="shared" si="303"/>
        <v>600446</v>
      </c>
      <c r="O342" s="16">
        <f t="shared" si="286"/>
        <v>84720.174174174172</v>
      </c>
      <c r="P342" s="41"/>
      <c r="Q342" s="17">
        <f t="shared" si="304"/>
        <v>600446</v>
      </c>
      <c r="R342" s="16"/>
      <c r="S342" s="60">
        <f t="shared" si="305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7"/>
        <v>490944</v>
      </c>
      <c r="AB342" s="33"/>
      <c r="AC342" s="46">
        <f t="shared" si="288"/>
        <v>1.7402068877659709E-2</v>
      </c>
      <c r="AD342" s="33"/>
      <c r="AE342" s="33">
        <f t="shared" si="289"/>
        <v>1474.3063063063064</v>
      </c>
      <c r="AF342" s="50"/>
      <c r="AG342" s="33">
        <f t="shared" si="290"/>
        <v>17192</v>
      </c>
      <c r="AH342" s="33">
        <f t="shared" si="266"/>
        <v>1129197501.060914</v>
      </c>
      <c r="AI342" s="213">
        <f t="shared" si="291"/>
        <v>-0.15919205751454982</v>
      </c>
      <c r="AJ342" s="50"/>
      <c r="AK342" s="10"/>
      <c r="AL342" s="23">
        <f t="shared" si="292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93"/>
        <v>7.2615731270269657E-3</v>
      </c>
      <c r="AS342" s="25"/>
      <c r="AT342" s="25"/>
      <c r="AU342" s="24"/>
      <c r="AV342" s="298">
        <f t="shared" si="294"/>
        <v>0.65067146682996468</v>
      </c>
      <c r="AW342" s="298"/>
      <c r="AX342" s="24">
        <f t="shared" si="295"/>
        <v>55125</v>
      </c>
      <c r="AY342" s="308"/>
      <c r="AZ342" s="10"/>
      <c r="BA342" s="65">
        <f t="shared" si="296"/>
        <v>1354277</v>
      </c>
      <c r="BB342" s="66"/>
      <c r="BC342" s="66">
        <v>336467695</v>
      </c>
      <c r="BD342" s="66"/>
      <c r="BE342" s="66">
        <f t="shared" si="297"/>
        <v>52785</v>
      </c>
      <c r="BF342" s="66"/>
      <c r="BG342" s="144">
        <f t="shared" si="298"/>
        <v>3.8976516621045766E-2</v>
      </c>
      <c r="BH342" s="66"/>
      <c r="BI342" s="170"/>
      <c r="BJ342" s="66"/>
      <c r="BK342" s="66">
        <f t="shared" si="299"/>
        <v>10957401</v>
      </c>
      <c r="BL342" s="66"/>
      <c r="BM342" s="144">
        <f t="shared" si="300"/>
        <v>5.4798213554473361E-2</v>
      </c>
      <c r="BN342" s="65">
        <f t="shared" si="301"/>
        <v>1010413.4984984985</v>
      </c>
      <c r="BO342" s="66"/>
      <c r="BP342" s="66">
        <f t="shared" si="302"/>
        <v>27304840</v>
      </c>
      <c r="BQ342" s="66"/>
      <c r="BR342" s="435">
        <f t="shared" si="306"/>
        <v>8.1151446054873108E-2</v>
      </c>
      <c r="BS342" s="66"/>
      <c r="BT342" s="75"/>
      <c r="BU342" s="170"/>
      <c r="BV342" s="1"/>
      <c r="BW342" s="61">
        <f t="shared" si="189"/>
        <v>333</v>
      </c>
    </row>
    <row r="343" spans="2:75" x14ac:dyDescent="0.3">
      <c r="B343" s="158">
        <f t="shared" si="163"/>
        <v>44243</v>
      </c>
      <c r="C343" s="61"/>
      <c r="D343" s="17">
        <v>63398</v>
      </c>
      <c r="E343" s="16"/>
      <c r="F343" s="16"/>
      <c r="G343" s="16"/>
      <c r="H343" s="16">
        <f t="shared" si="284"/>
        <v>28275216</v>
      </c>
      <c r="I343" s="16"/>
      <c r="J343" s="436">
        <f t="shared" si="285"/>
        <v>2.2472142702749608E-3</v>
      </c>
      <c r="K343" s="16"/>
      <c r="L343" s="16"/>
      <c r="M343" s="16"/>
      <c r="N343" s="16">
        <f t="shared" si="303"/>
        <v>568302</v>
      </c>
      <c r="O343" s="16">
        <f t="shared" si="286"/>
        <v>84656.335329341324</v>
      </c>
      <c r="P343" s="41"/>
      <c r="Q343" s="17">
        <f t="shared" si="304"/>
        <v>568302</v>
      </c>
      <c r="R343" s="16"/>
      <c r="S343" s="60">
        <f t="shared" si="305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7"/>
        <v>492731</v>
      </c>
      <c r="AB343" s="33"/>
      <c r="AC343" s="46">
        <f t="shared" si="288"/>
        <v>1.7426250607599249E-2</v>
      </c>
      <c r="AD343" s="33"/>
      <c r="AE343" s="33">
        <f t="shared" si="289"/>
        <v>1475.2425149700598</v>
      </c>
      <c r="AF343" s="50"/>
      <c r="AG343" s="33">
        <f t="shared" si="290"/>
        <v>15714</v>
      </c>
      <c r="AH343" s="33">
        <f t="shared" si="266"/>
        <v>1129022941.060914</v>
      </c>
      <c r="AI343" s="213">
        <f t="shared" si="291"/>
        <v>-0.2144963759060235</v>
      </c>
      <c r="AJ343" s="50"/>
      <c r="AK343" s="10"/>
      <c r="AL343" s="23">
        <f t="shared" si="292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93"/>
        <v>6.6893015464444035E-3</v>
      </c>
      <c r="AS343" s="25"/>
      <c r="AT343" s="25"/>
      <c r="AU343" s="24"/>
      <c r="AV343" s="298">
        <f t="shared" si="294"/>
        <v>0.65355532562509866</v>
      </c>
      <c r="AW343" s="298"/>
      <c r="AX343" s="24">
        <f t="shared" si="295"/>
        <v>55327.598802395209</v>
      </c>
      <c r="AY343" s="308"/>
      <c r="AZ343" s="10"/>
      <c r="BA343" s="65">
        <f t="shared" si="296"/>
        <v>1198213</v>
      </c>
      <c r="BB343" s="66"/>
      <c r="BC343" s="66">
        <v>337665908</v>
      </c>
      <c r="BD343" s="66"/>
      <c r="BE343" s="66">
        <f t="shared" si="297"/>
        <v>63398</v>
      </c>
      <c r="BF343" s="66"/>
      <c r="BG343" s="144">
        <f t="shared" si="298"/>
        <v>5.2910459158763926E-2</v>
      </c>
      <c r="BH343" s="66"/>
      <c r="BI343" s="170"/>
      <c r="BJ343" s="66"/>
      <c r="BK343" s="66">
        <f t="shared" si="299"/>
        <v>10494114</v>
      </c>
      <c r="BL343" s="66"/>
      <c r="BM343" s="144">
        <f t="shared" si="300"/>
        <v>5.4154357385482951E-2</v>
      </c>
      <c r="BN343" s="65">
        <f t="shared" si="301"/>
        <v>1010975.7724550898</v>
      </c>
      <c r="BO343" s="66"/>
      <c r="BP343" s="66">
        <f t="shared" si="302"/>
        <v>27368238</v>
      </c>
      <c r="BQ343" s="66"/>
      <c r="BR343" s="435">
        <f t="shared" si="306"/>
        <v>8.1051232450745372E-2</v>
      </c>
      <c r="BS343" s="66"/>
      <c r="BT343" s="75"/>
      <c r="BU343" s="170"/>
      <c r="BV343" s="1"/>
      <c r="BW343" s="61">
        <f t="shared" si="189"/>
        <v>334</v>
      </c>
    </row>
    <row r="344" spans="2:75" x14ac:dyDescent="0.3">
      <c r="B344" s="158">
        <f t="shared" si="163"/>
        <v>44244</v>
      </c>
      <c r="C344" s="61"/>
      <c r="D344" s="17">
        <v>71640</v>
      </c>
      <c r="E344" s="16"/>
      <c r="F344" s="16"/>
      <c r="G344" s="16"/>
      <c r="H344" s="16">
        <f t="shared" si="284"/>
        <v>28346856</v>
      </c>
      <c r="I344" s="16"/>
      <c r="J344" s="436">
        <f t="shared" si="285"/>
        <v>2.5336676473134635E-3</v>
      </c>
      <c r="K344" s="16"/>
      <c r="L344" s="16"/>
      <c r="M344" s="16"/>
      <c r="N344" s="16">
        <f t="shared" si="303"/>
        <v>543136</v>
      </c>
      <c r="O344" s="16">
        <f t="shared" si="286"/>
        <v>84617.480597014932</v>
      </c>
      <c r="P344" s="41"/>
      <c r="Q344" s="17">
        <f t="shared" si="304"/>
        <v>543136</v>
      </c>
      <c r="R344" s="16"/>
      <c r="S344" s="60">
        <f t="shared" si="305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7"/>
        <v>495268</v>
      </c>
      <c r="AB344" s="33"/>
      <c r="AC344" s="46">
        <f t="shared" si="288"/>
        <v>1.7471708326313156E-2</v>
      </c>
      <c r="AD344" s="33"/>
      <c r="AE344" s="33">
        <f t="shared" si="289"/>
        <v>1478.4119402985075</v>
      </c>
      <c r="AF344" s="50"/>
      <c r="AG344" s="33">
        <f t="shared" si="290"/>
        <v>14819</v>
      </c>
      <c r="AH344" s="33">
        <f t="shared" si="266"/>
        <v>1128873613.060914</v>
      </c>
      <c r="AI344" s="213">
        <f t="shared" si="291"/>
        <v>-0.23762732791439448</v>
      </c>
      <c r="AJ344" s="50"/>
      <c r="AK344" s="10"/>
      <c r="AL344" s="23">
        <f t="shared" si="292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93"/>
        <v>6.3356432545657012E-3</v>
      </c>
      <c r="AS344" s="25"/>
      <c r="AT344" s="25"/>
      <c r="AU344" s="24"/>
      <c r="AV344" s="298">
        <f t="shared" si="294"/>
        <v>0.65603384728098246</v>
      </c>
      <c r="AW344" s="298"/>
      <c r="AX344" s="24">
        <f t="shared" si="295"/>
        <v>55511.931343283584</v>
      </c>
      <c r="AY344" s="308"/>
      <c r="AZ344" s="10"/>
      <c r="BA344" s="65">
        <f t="shared" si="296"/>
        <v>2594597</v>
      </c>
      <c r="BB344" s="66"/>
      <c r="BC344" s="66">
        <v>340260505</v>
      </c>
      <c r="BD344" s="66"/>
      <c r="BE344" s="66">
        <f t="shared" si="297"/>
        <v>71640</v>
      </c>
      <c r="BF344" s="66"/>
      <c r="BG344" s="144">
        <f t="shared" si="298"/>
        <v>2.7611224402094042E-2</v>
      </c>
      <c r="BH344" s="66"/>
      <c r="BI344" s="170"/>
      <c r="BJ344" s="66"/>
      <c r="BK344" s="66">
        <f t="shared" si="299"/>
        <v>11785259</v>
      </c>
      <c r="BL344" s="66"/>
      <c r="BM344" s="144">
        <f t="shared" si="300"/>
        <v>4.6086046984627149E-2</v>
      </c>
      <c r="BN344" s="65">
        <f t="shared" si="301"/>
        <v>1015703</v>
      </c>
      <c r="BO344" s="66"/>
      <c r="BP344" s="66">
        <f t="shared" si="302"/>
        <v>27439878</v>
      </c>
      <c r="BQ344" s="66"/>
      <c r="BR344" s="435">
        <f t="shared" si="306"/>
        <v>8.0643735011208542E-2</v>
      </c>
      <c r="BS344" s="66"/>
      <c r="BT344" s="75"/>
      <c r="BU344" s="170"/>
      <c r="BV344" s="1"/>
      <c r="BW344" s="61">
        <f t="shared" si="189"/>
        <v>335</v>
      </c>
    </row>
    <row r="345" spans="2:75" x14ac:dyDescent="0.3">
      <c r="B345" s="158">
        <f t="shared" si="163"/>
        <v>44245</v>
      </c>
      <c r="C345" s="61"/>
      <c r="D345" s="17">
        <v>68924</v>
      </c>
      <c r="E345" s="16"/>
      <c r="F345" s="16"/>
      <c r="G345" s="16"/>
      <c r="H345" s="16">
        <f t="shared" si="284"/>
        <v>28415780</v>
      </c>
      <c r="I345" s="16"/>
      <c r="J345" s="436">
        <f t="shared" si="285"/>
        <v>2.4314513045115126E-3</v>
      </c>
      <c r="K345" s="16"/>
      <c r="L345" s="16"/>
      <c r="M345" s="16"/>
      <c r="N345" s="16">
        <f t="shared" si="303"/>
        <v>507816</v>
      </c>
      <c r="O345" s="16">
        <f t="shared" si="286"/>
        <v>84570.773809523816</v>
      </c>
      <c r="P345" s="41"/>
      <c r="Q345" s="17">
        <f t="shared" si="304"/>
        <v>507816</v>
      </c>
      <c r="R345" s="16"/>
      <c r="S345" s="60">
        <f t="shared" si="305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7"/>
        <v>498029</v>
      </c>
      <c r="AB345" s="33"/>
      <c r="AC345" s="46">
        <f t="shared" si="288"/>
        <v>1.7526494081809472E-2</v>
      </c>
      <c r="AD345" s="33"/>
      <c r="AE345" s="33">
        <f t="shared" si="289"/>
        <v>1482.2291666666667</v>
      </c>
      <c r="AF345" s="50"/>
      <c r="AG345" s="33">
        <f t="shared" si="290"/>
        <v>14330</v>
      </c>
      <c r="AH345" s="33">
        <f t="shared" si="266"/>
        <v>1128699235.060914</v>
      </c>
      <c r="AI345" s="213">
        <f t="shared" si="291"/>
        <v>-0.25193150970975153</v>
      </c>
      <c r="AJ345" s="50"/>
      <c r="AK345" s="10"/>
      <c r="AL345" s="23">
        <f t="shared" si="292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93"/>
        <v>5.7496850078807855E-3</v>
      </c>
      <c r="AS345" s="25"/>
      <c r="AT345" s="25"/>
      <c r="AU345" s="24"/>
      <c r="AV345" s="298">
        <f t="shared" si="294"/>
        <v>0.65820544077973575</v>
      </c>
      <c r="AW345" s="298"/>
      <c r="AX345" s="24">
        <f t="shared" si="295"/>
        <v>55664.943452380954</v>
      </c>
      <c r="AY345" s="308"/>
      <c r="AZ345" s="10"/>
      <c r="BA345" s="65">
        <f t="shared" si="296"/>
        <v>1247344</v>
      </c>
      <c r="BB345" s="66"/>
      <c r="BC345" s="66">
        <v>341507849</v>
      </c>
      <c r="BD345" s="66"/>
      <c r="BE345" s="66">
        <f t="shared" si="297"/>
        <v>68924</v>
      </c>
      <c r="BF345" s="66"/>
      <c r="BG345" s="144">
        <f t="shared" si="298"/>
        <v>5.5256609243320209E-2</v>
      </c>
      <c r="BH345" s="66"/>
      <c r="BI345" s="170"/>
      <c r="BJ345" s="66"/>
      <c r="BK345" s="66">
        <f t="shared" si="299"/>
        <v>11282603</v>
      </c>
      <c r="BL345" s="66"/>
      <c r="BM345" s="144">
        <f t="shared" si="300"/>
        <v>4.500876260557958E-2</v>
      </c>
      <c r="BN345" s="65">
        <f t="shared" si="301"/>
        <v>1016392.4077380953</v>
      </c>
      <c r="BO345" s="66"/>
      <c r="BP345" s="66">
        <f t="shared" si="302"/>
        <v>27508802</v>
      </c>
      <c r="BQ345" s="66"/>
      <c r="BR345" s="435">
        <f t="shared" si="306"/>
        <v>8.0551009531848267E-2</v>
      </c>
      <c r="BS345" s="66"/>
      <c r="BT345" s="75"/>
      <c r="BU345" s="170"/>
      <c r="BV345" s="1"/>
      <c r="BW345" s="61">
        <f t="shared" si="189"/>
        <v>336</v>
      </c>
    </row>
    <row r="346" spans="2:75" x14ac:dyDescent="0.3">
      <c r="B346" s="158">
        <f t="shared" si="163"/>
        <v>44246</v>
      </c>
      <c r="C346" s="61"/>
      <c r="D346" s="17">
        <v>85539</v>
      </c>
      <c r="E346" s="16"/>
      <c r="F346" s="16"/>
      <c r="G346" s="16"/>
      <c r="H346" s="16">
        <f t="shared" si="284"/>
        <v>28501319</v>
      </c>
      <c r="I346" s="16"/>
      <c r="J346" s="436">
        <f t="shared" si="285"/>
        <v>3.0102640152760191E-3</v>
      </c>
      <c r="K346" s="16"/>
      <c r="L346" s="16"/>
      <c r="M346" s="16"/>
      <c r="N346" s="16">
        <f t="shared" si="303"/>
        <v>493067</v>
      </c>
      <c r="O346" s="16">
        <f t="shared" si="286"/>
        <v>84573.646884272996</v>
      </c>
      <c r="P346" s="41"/>
      <c r="Q346" s="17">
        <f t="shared" si="304"/>
        <v>493067</v>
      </c>
      <c r="R346" s="16"/>
      <c r="S346" s="60">
        <f t="shared" si="305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7"/>
        <v>500674</v>
      </c>
      <c r="AB346" s="33"/>
      <c r="AC346" s="46">
        <f t="shared" si="288"/>
        <v>1.7566695772921949E-2</v>
      </c>
      <c r="AD346" s="33"/>
      <c r="AE346" s="33">
        <f t="shared" si="289"/>
        <v>1485.679525222552</v>
      </c>
      <c r="AF346" s="50"/>
      <c r="AG346" s="33">
        <f t="shared" si="290"/>
        <v>14067</v>
      </c>
      <c r="AH346" s="33">
        <f t="shared" si="266"/>
        <v>1128509154.060914</v>
      </c>
      <c r="AI346" s="213">
        <f t="shared" si="291"/>
        <v>-0.23929266709928618</v>
      </c>
      <c r="AJ346" s="50"/>
      <c r="AK346" s="10"/>
      <c r="AL346" s="23">
        <f t="shared" si="292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93"/>
        <v>4.5446231467494635E-3</v>
      </c>
      <c r="AS346" s="25"/>
      <c r="AT346" s="25"/>
      <c r="AU346" s="24"/>
      <c r="AV346" s="298">
        <f t="shared" si="294"/>
        <v>0.65921233329587303</v>
      </c>
      <c r="AW346" s="298"/>
      <c r="AX346" s="24">
        <f t="shared" si="295"/>
        <v>55751.991097922852</v>
      </c>
      <c r="AY346" s="308"/>
      <c r="AZ346" s="10"/>
      <c r="BA346" s="65">
        <f t="shared" si="296"/>
        <v>2560000</v>
      </c>
      <c r="BB346" s="66"/>
      <c r="BC346" s="66">
        <f>341507849+2560000</f>
        <v>344067849</v>
      </c>
      <c r="BD346" s="66"/>
      <c r="BE346" s="66">
        <f t="shared" si="297"/>
        <v>85539</v>
      </c>
      <c r="BF346" s="66"/>
      <c r="BG346" s="144">
        <f t="shared" si="298"/>
        <v>3.3413671875000002E-2</v>
      </c>
      <c r="BH346" s="66"/>
      <c r="BI346" s="170"/>
      <c r="BJ346" s="66"/>
      <c r="BK346" s="66">
        <f t="shared" si="299"/>
        <v>11937927</v>
      </c>
      <c r="BL346" s="66"/>
      <c r="BM346" s="144">
        <f t="shared" si="300"/>
        <v>4.1302564507221397E-2</v>
      </c>
      <c r="BN346" s="65">
        <f t="shared" si="301"/>
        <v>1020972.8456973294</v>
      </c>
      <c r="BO346" s="66"/>
      <c r="BP346" s="66">
        <f t="shared" si="302"/>
        <v>27594341</v>
      </c>
      <c r="BQ346" s="66"/>
      <c r="BR346" s="435">
        <f t="shared" si="306"/>
        <v>8.0200289216793397E-2</v>
      </c>
      <c r="BS346" s="66"/>
      <c r="BT346" s="75"/>
      <c r="BU346" s="170"/>
      <c r="BV346" s="1"/>
      <c r="BW346" s="61">
        <f t="shared" si="189"/>
        <v>337</v>
      </c>
    </row>
    <row r="347" spans="2:75" x14ac:dyDescent="0.3">
      <c r="B347" s="158">
        <f t="shared" si="163"/>
        <v>44247</v>
      </c>
      <c r="C347" s="61"/>
      <c r="D347" s="17">
        <v>69617</v>
      </c>
      <c r="E347" s="16"/>
      <c r="F347" s="16"/>
      <c r="G347" s="16"/>
      <c r="H347" s="16">
        <f t="shared" si="284"/>
        <v>28570936</v>
      </c>
      <c r="I347" s="16"/>
      <c r="J347" s="436">
        <f t="shared" si="285"/>
        <v>2.4425887096663841E-3</v>
      </c>
      <c r="K347" s="16"/>
      <c r="L347" s="16"/>
      <c r="M347" s="16"/>
      <c r="N347" s="16">
        <f t="shared" si="303"/>
        <v>476200</v>
      </c>
      <c r="O347" s="16">
        <f t="shared" si="286"/>
        <v>84529.396449704145</v>
      </c>
      <c r="P347" s="41"/>
      <c r="Q347" s="17">
        <f t="shared" si="304"/>
        <v>476200</v>
      </c>
      <c r="R347" s="16"/>
      <c r="S347" s="60">
        <f t="shared" si="305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7"/>
        <v>502581</v>
      </c>
      <c r="AB347" s="33"/>
      <c r="AC347" s="46">
        <f t="shared" si="288"/>
        <v>1.7590638262603646E-2</v>
      </c>
      <c r="AD347" s="33"/>
      <c r="AE347" s="33">
        <f t="shared" si="289"/>
        <v>1486.9260355029585</v>
      </c>
      <c r="AF347" s="50"/>
      <c r="AG347" s="33">
        <f t="shared" si="290"/>
        <v>13702</v>
      </c>
      <c r="AH347" s="33">
        <f t="shared" si="266"/>
        <v>1128315396.060914</v>
      </c>
      <c r="AI347" s="213">
        <f t="shared" si="291"/>
        <v>-0.24021293113008763</v>
      </c>
      <c r="AJ347" s="50"/>
      <c r="AK347" s="10"/>
      <c r="AL347" s="23">
        <f t="shared" si="292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93"/>
        <v>5.8999635999214626E-3</v>
      </c>
      <c r="AS347" s="25"/>
      <c r="AT347" s="25"/>
      <c r="AU347" s="24"/>
      <c r="AV347" s="298">
        <f t="shared" si="294"/>
        <v>0.66148592401733008</v>
      </c>
      <c r="AW347" s="298"/>
      <c r="AX347" s="24">
        <f t="shared" si="295"/>
        <v>55915.00591715976</v>
      </c>
      <c r="AY347" s="308"/>
      <c r="AZ347" s="10"/>
      <c r="BA347" s="65">
        <f t="shared" si="296"/>
        <v>2883916</v>
      </c>
      <c r="BB347" s="66"/>
      <c r="BC347" s="66">
        <v>346951765</v>
      </c>
      <c r="BD347" s="66"/>
      <c r="BE347" s="66">
        <f t="shared" si="297"/>
        <v>69617</v>
      </c>
      <c r="BF347" s="66"/>
      <c r="BG347" s="144">
        <f t="shared" si="298"/>
        <v>2.4139746095239945E-2</v>
      </c>
      <c r="BH347" s="66"/>
      <c r="BI347" s="170"/>
      <c r="BJ347" s="66"/>
      <c r="BK347" s="66">
        <f t="shared" si="299"/>
        <v>13123407</v>
      </c>
      <c r="BL347" s="66"/>
      <c r="BM347" s="144">
        <f t="shared" si="300"/>
        <v>3.6286308883051482E-2</v>
      </c>
      <c r="BN347" s="65">
        <f t="shared" si="301"/>
        <v>1026484.5118343196</v>
      </c>
      <c r="BO347" s="66"/>
      <c r="BP347" s="66">
        <f t="shared" si="302"/>
        <v>27663958</v>
      </c>
      <c r="BQ347" s="66"/>
      <c r="BR347" s="435">
        <f t="shared" si="306"/>
        <v>7.973430543003579E-2</v>
      </c>
      <c r="BS347" s="66"/>
      <c r="BT347" s="75"/>
      <c r="BU347" s="170"/>
      <c r="BV347" s="1"/>
      <c r="BW347" s="61">
        <f t="shared" si="189"/>
        <v>338</v>
      </c>
    </row>
    <row r="348" spans="2:75" x14ac:dyDescent="0.3">
      <c r="B348" s="347">
        <f t="shared" si="163"/>
        <v>44248</v>
      </c>
      <c r="C348" s="61"/>
      <c r="D348" s="17">
        <v>57225</v>
      </c>
      <c r="E348" s="16"/>
      <c r="F348" s="16"/>
      <c r="G348" s="16"/>
      <c r="H348" s="16">
        <f t="shared" si="284"/>
        <v>28628161</v>
      </c>
      <c r="I348" s="16"/>
      <c r="J348" s="436">
        <f t="shared" si="285"/>
        <v>2.0029095301603E-3</v>
      </c>
      <c r="K348" s="16"/>
      <c r="L348" s="16"/>
      <c r="M348" s="16"/>
      <c r="N348" s="16">
        <f t="shared" si="303"/>
        <v>469128</v>
      </c>
      <c r="O348" s="16">
        <f t="shared" si="286"/>
        <v>84448.852507374628</v>
      </c>
      <c r="P348" s="41"/>
      <c r="Q348" s="17">
        <f t="shared" si="304"/>
        <v>469128</v>
      </c>
      <c r="R348" s="16"/>
      <c r="S348" s="60">
        <f t="shared" si="305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7"/>
        <v>503828</v>
      </c>
      <c r="AB348" s="33"/>
      <c r="AC348" s="46">
        <f t="shared" si="288"/>
        <v>1.7599034740652744E-2</v>
      </c>
      <c r="AD348" s="33"/>
      <c r="AE348" s="33">
        <f t="shared" si="289"/>
        <v>1486.2182890855456</v>
      </c>
      <c r="AF348" s="50"/>
      <c r="AG348" s="33">
        <f t="shared" si="290"/>
        <v>13838</v>
      </c>
      <c r="AH348" s="33">
        <f t="shared" si="266"/>
        <v>1128123331.060914</v>
      </c>
      <c r="AI348" s="213">
        <f t="shared" si="291"/>
        <v>-0.22389231632080764</v>
      </c>
      <c r="AJ348" s="50"/>
      <c r="AK348" s="10"/>
      <c r="AL348" s="23">
        <f t="shared" si="292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93"/>
        <v>3.9111559429379078E-3</v>
      </c>
      <c r="AS348" s="25"/>
      <c r="AT348" s="25"/>
      <c r="AU348" s="24"/>
      <c r="AV348" s="298">
        <f t="shared" si="294"/>
        <v>0.66274567898371117</v>
      </c>
      <c r="AW348" s="298"/>
      <c r="AX348" s="24">
        <f t="shared" si="295"/>
        <v>55968.112094395277</v>
      </c>
      <c r="AY348" s="308"/>
      <c r="AZ348" s="10"/>
      <c r="BA348" s="65">
        <f t="shared" si="296"/>
        <v>1144436</v>
      </c>
      <c r="BB348" s="66"/>
      <c r="BC348" s="66">
        <v>348096201</v>
      </c>
      <c r="BD348" s="66"/>
      <c r="BE348" s="66">
        <f t="shared" si="297"/>
        <v>57225</v>
      </c>
      <c r="BF348" s="66"/>
      <c r="BG348" s="144">
        <f t="shared" si="298"/>
        <v>5.0002796137136547E-2</v>
      </c>
      <c r="BH348" s="66"/>
      <c r="BI348" s="170"/>
      <c r="BJ348" s="66"/>
      <c r="BK348" s="66">
        <f t="shared" si="299"/>
        <v>12982783</v>
      </c>
      <c r="BL348" s="66"/>
      <c r="BM348" s="144">
        <f t="shared" si="300"/>
        <v>3.6134625372695517E-2</v>
      </c>
      <c r="BN348" s="65">
        <f t="shared" si="301"/>
        <v>1026832.4513274336</v>
      </c>
      <c r="BO348" s="66"/>
      <c r="BP348" s="66">
        <f t="shared" si="302"/>
        <v>27721183</v>
      </c>
      <c r="BQ348" s="66"/>
      <c r="BR348" s="435">
        <f t="shared" si="306"/>
        <v>7.9636557136686478E-2</v>
      </c>
      <c r="BS348" s="66"/>
      <c r="BT348" s="75"/>
      <c r="BU348" s="170"/>
      <c r="BV348" s="1"/>
      <c r="BW348" s="61">
        <f t="shared" si="189"/>
        <v>339</v>
      </c>
    </row>
    <row r="349" spans="2:75" x14ac:dyDescent="0.3">
      <c r="B349" s="158">
        <f t="shared" si="163"/>
        <v>44249</v>
      </c>
      <c r="C349" s="61"/>
      <c r="D349" s="17">
        <v>71054</v>
      </c>
      <c r="E349" s="16"/>
      <c r="F349" s="16"/>
      <c r="G349" s="16"/>
      <c r="H349" s="16">
        <f t="shared" si="284"/>
        <v>28699215</v>
      </c>
      <c r="I349" s="16"/>
      <c r="J349" s="436">
        <f t="shared" si="285"/>
        <v>2.4819617299204097E-3</v>
      </c>
      <c r="K349" s="16"/>
      <c r="L349" s="16"/>
      <c r="M349" s="16"/>
      <c r="N349" s="16">
        <f t="shared" si="303"/>
        <v>487397</v>
      </c>
      <c r="O349" s="16">
        <f t="shared" si="286"/>
        <v>84409.455882352937</v>
      </c>
      <c r="P349" s="41"/>
      <c r="Q349" s="17">
        <f t="shared" si="304"/>
        <v>487397</v>
      </c>
      <c r="R349" s="16"/>
      <c r="S349" s="60">
        <f t="shared" si="305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7"/>
        <v>506232</v>
      </c>
      <c r="AB349" s="33"/>
      <c r="AC349" s="46">
        <f t="shared" si="288"/>
        <v>1.7639228111291545E-2</v>
      </c>
      <c r="AD349" s="33"/>
      <c r="AE349" s="33">
        <f t="shared" si="289"/>
        <v>1488.9176470588236</v>
      </c>
      <c r="AF349" s="50"/>
      <c r="AG349" s="33">
        <f t="shared" si="290"/>
        <v>15288</v>
      </c>
      <c r="AH349" s="33">
        <f t="shared" si="266"/>
        <v>1127950264.060914</v>
      </c>
      <c r="AI349" s="213">
        <f t="shared" si="291"/>
        <v>-0.11074918566775244</v>
      </c>
      <c r="AJ349" s="50"/>
      <c r="AK349" s="10"/>
      <c r="AL349" s="23">
        <f t="shared" si="292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93"/>
        <v>1.2613956851747123E-2</v>
      </c>
      <c r="AS349" s="25"/>
      <c r="AT349" s="25"/>
      <c r="AU349" s="24"/>
      <c r="AV349" s="298">
        <f t="shared" si="294"/>
        <v>0.66944399001854227</v>
      </c>
      <c r="AW349" s="298"/>
      <c r="AX349" s="24">
        <f t="shared" si="295"/>
        <v>56507.402941176471</v>
      </c>
      <c r="AY349" s="308"/>
      <c r="AZ349" s="10"/>
      <c r="BA349" s="65">
        <f t="shared" si="296"/>
        <v>2957478</v>
      </c>
      <c r="BB349" s="66"/>
      <c r="BC349" s="66">
        <v>351053679</v>
      </c>
      <c r="BD349" s="66"/>
      <c r="BE349" s="66">
        <f t="shared" si="297"/>
        <v>71054</v>
      </c>
      <c r="BF349" s="66"/>
      <c r="BG349" s="144">
        <f t="shared" si="298"/>
        <v>2.4025199849331085E-2</v>
      </c>
      <c r="BH349" s="66"/>
      <c r="BI349" s="170"/>
      <c r="BJ349" s="66"/>
      <c r="BK349" s="66">
        <f t="shared" si="299"/>
        <v>14585984</v>
      </c>
      <c r="BL349" s="66"/>
      <c r="BM349" s="144">
        <f t="shared" si="300"/>
        <v>3.3415434981966252E-2</v>
      </c>
      <c r="BN349" s="65">
        <f t="shared" si="301"/>
        <v>1032510.8205882353</v>
      </c>
      <c r="BO349" s="66"/>
      <c r="BP349" s="66">
        <f t="shared" si="302"/>
        <v>27792237</v>
      </c>
      <c r="BQ349" s="66"/>
      <c r="BR349" s="435">
        <f t="shared" si="306"/>
        <v>7.9168055093933376E-2</v>
      </c>
      <c r="BS349" s="66"/>
      <c r="BT349" s="75"/>
      <c r="BU349" s="170"/>
      <c r="BV349" s="1"/>
      <c r="BW349" s="61">
        <f t="shared" si="189"/>
        <v>340</v>
      </c>
    </row>
    <row r="350" spans="2:75" x14ac:dyDescent="0.3">
      <c r="B350" s="158">
        <f t="shared" si="163"/>
        <v>44250</v>
      </c>
      <c r="C350" s="61"/>
      <c r="D350" s="17">
        <v>73704</v>
      </c>
      <c r="E350" s="16"/>
      <c r="F350" s="16"/>
      <c r="G350" s="16"/>
      <c r="H350" s="16">
        <f t="shared" si="284"/>
        <v>28772919</v>
      </c>
      <c r="I350" s="16"/>
      <c r="J350" s="436">
        <f t="shared" si="285"/>
        <v>2.5681538676232086E-3</v>
      </c>
      <c r="K350" s="16"/>
      <c r="L350" s="16"/>
      <c r="M350" s="16"/>
      <c r="N350" s="16">
        <f t="shared" si="303"/>
        <v>497703</v>
      </c>
      <c r="O350" s="16">
        <f t="shared" si="286"/>
        <v>84378.061583577713</v>
      </c>
      <c r="P350" s="41"/>
      <c r="Q350" s="17">
        <f t="shared" si="304"/>
        <v>497703</v>
      </c>
      <c r="R350" s="16"/>
      <c r="S350" s="60">
        <f t="shared" si="305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7"/>
        <v>508675</v>
      </c>
      <c r="AB350" s="33"/>
      <c r="AC350" s="46">
        <f t="shared" si="288"/>
        <v>1.7678950126679884E-2</v>
      </c>
      <c r="AD350" s="33"/>
      <c r="AE350" s="33">
        <f t="shared" si="289"/>
        <v>1491.7155425219942</v>
      </c>
      <c r="AF350" s="50"/>
      <c r="AG350" s="33">
        <f t="shared" si="290"/>
        <v>15944</v>
      </c>
      <c r="AH350" s="33">
        <f t="shared" si="266"/>
        <v>1127815082.060914</v>
      </c>
      <c r="AI350" s="213">
        <f t="shared" si="291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93"/>
        <v>3.9037050689402124E-3</v>
      </c>
      <c r="AS350" s="25"/>
      <c r="AT350" s="25"/>
      <c r="AU350" s="24"/>
      <c r="AV350" s="298">
        <f t="shared" si="294"/>
        <v>0.66772915879685335</v>
      </c>
      <c r="AW350" s="298"/>
      <c r="AX350" s="24">
        <f t="shared" si="295"/>
        <v>56341.69208211144</v>
      </c>
      <c r="AY350" s="308"/>
      <c r="AZ350" s="111" t="s">
        <v>26</v>
      </c>
      <c r="BA350" s="65">
        <f t="shared" si="296"/>
        <v>696321</v>
      </c>
      <c r="BB350" s="66"/>
      <c r="BC350" s="66">
        <v>351750000</v>
      </c>
      <c r="BD350" s="66"/>
      <c r="BE350" s="66">
        <f t="shared" si="297"/>
        <v>73704</v>
      </c>
      <c r="BF350" s="66"/>
      <c r="BG350" s="144">
        <f t="shared" si="298"/>
        <v>0.1058477340192239</v>
      </c>
      <c r="BH350" s="66"/>
      <c r="BI350" s="170"/>
      <c r="BJ350" s="66"/>
      <c r="BK350" s="66">
        <f t="shared" si="299"/>
        <v>14084092</v>
      </c>
      <c r="BL350" s="66"/>
      <c r="BM350" s="144">
        <f t="shared" si="300"/>
        <v>3.5337954338838455E-2</v>
      </c>
      <c r="BN350" s="65">
        <f t="shared" si="301"/>
        <v>1031524.926686217</v>
      </c>
      <c r="BO350" s="66"/>
      <c r="BP350" s="66">
        <f t="shared" si="302"/>
        <v>27865941</v>
      </c>
      <c r="BQ350" s="66"/>
      <c r="BR350" s="435">
        <f t="shared" si="306"/>
        <v>7.9220869936034111E-2</v>
      </c>
      <c r="BS350" s="66"/>
      <c r="BT350" s="75"/>
      <c r="BU350" s="170"/>
      <c r="BV350" s="1"/>
      <c r="BW350" s="61">
        <f t="shared" si="189"/>
        <v>341</v>
      </c>
    </row>
    <row r="351" spans="2:75" x14ac:dyDescent="0.3">
      <c r="B351" s="158">
        <f t="shared" si="163"/>
        <v>44251</v>
      </c>
      <c r="C351" s="61"/>
      <c r="D351" s="17">
        <v>75299</v>
      </c>
      <c r="E351" s="16"/>
      <c r="F351" s="16"/>
      <c r="G351" s="16"/>
      <c r="H351" s="16">
        <f t="shared" si="284"/>
        <v>28848218</v>
      </c>
      <c r="I351" s="16"/>
      <c r="J351" s="436">
        <f t="shared" si="285"/>
        <v>2.6170094177792665E-3</v>
      </c>
      <c r="K351" s="16"/>
      <c r="L351" s="16"/>
      <c r="M351" s="16"/>
      <c r="N351" s="16">
        <f t="shared" si="303"/>
        <v>501362</v>
      </c>
      <c r="O351" s="16">
        <f t="shared" si="286"/>
        <v>84351.514619883048</v>
      </c>
      <c r="P351" s="41"/>
      <c r="Q351" s="17">
        <f t="shared" si="304"/>
        <v>501362</v>
      </c>
      <c r="R351" s="16"/>
      <c r="S351" s="60">
        <f t="shared" si="305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7"/>
        <v>511200</v>
      </c>
      <c r="AB351" s="33"/>
      <c r="AC351" s="46">
        <f t="shared" si="288"/>
        <v>1.772033198029771E-2</v>
      </c>
      <c r="AD351" s="33"/>
      <c r="AE351" s="33">
        <f t="shared" si="289"/>
        <v>1494.7368421052631</v>
      </c>
      <c r="AF351" s="50"/>
      <c r="AG351" s="33">
        <f t="shared" si="290"/>
        <v>15932</v>
      </c>
      <c r="AH351" s="33">
        <f t="shared" si="266"/>
        <v>1127662838.060914</v>
      </c>
      <c r="AI351" s="213">
        <f t="shared" si="291"/>
        <v>7.510628247520075E-2</v>
      </c>
      <c r="AJ351" s="50"/>
      <c r="AK351" s="111"/>
      <c r="AL351" s="23">
        <f t="shared" ref="AL351:AL383" si="307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93"/>
        <v>6.6525380302851524E-3</v>
      </c>
      <c r="AS351" s="25"/>
      <c r="AT351" s="25"/>
      <c r="AU351" s="24"/>
      <c r="AV351" s="298">
        <f t="shared" si="294"/>
        <v>0.67041676543071049</v>
      </c>
      <c r="AW351" s="298"/>
      <c r="AX351" s="24">
        <f t="shared" si="295"/>
        <v>56550.669590643272</v>
      </c>
      <c r="AY351" s="308"/>
      <c r="AZ351" s="111"/>
      <c r="BA351" s="65">
        <f t="shared" si="296"/>
        <v>782421</v>
      </c>
      <c r="BB351" s="66"/>
      <c r="BC351" s="66">
        <v>352532421</v>
      </c>
      <c r="BD351" s="66"/>
      <c r="BE351" s="66">
        <f t="shared" si="297"/>
        <v>75299</v>
      </c>
      <c r="BF351" s="66"/>
      <c r="BG351" s="144">
        <f t="shared" si="298"/>
        <v>9.623847008196354E-2</v>
      </c>
      <c r="BH351" s="66"/>
      <c r="BI351" s="170"/>
      <c r="BJ351" s="66"/>
      <c r="BK351" s="66">
        <f t="shared" si="299"/>
        <v>12271916</v>
      </c>
      <c r="BL351" s="66"/>
      <c r="BM351" s="144">
        <f t="shared" si="300"/>
        <v>4.0854419146936792E-2</v>
      </c>
      <c r="BN351" s="65">
        <f t="shared" si="301"/>
        <v>1030796.552631579</v>
      </c>
      <c r="BO351" s="66"/>
      <c r="BP351" s="66">
        <f t="shared" si="302"/>
        <v>27941240</v>
      </c>
      <c r="BQ351" s="66"/>
      <c r="BR351" s="435">
        <f t="shared" si="306"/>
        <v>7.9258639306822795E-2</v>
      </c>
      <c r="BS351" s="66"/>
      <c r="BT351" s="75"/>
      <c r="BU351" s="170"/>
      <c r="BV351" s="1"/>
      <c r="BW351" s="61">
        <f t="shared" si="189"/>
        <v>342</v>
      </c>
    </row>
    <row r="352" spans="2:75" x14ac:dyDescent="0.3">
      <c r="B352" s="158">
        <f t="shared" si="163"/>
        <v>44252</v>
      </c>
      <c r="C352" s="61"/>
      <c r="D352" s="17">
        <v>77377</v>
      </c>
      <c r="E352" s="16"/>
      <c r="F352" s="16"/>
      <c r="G352" s="16"/>
      <c r="H352" s="16">
        <f t="shared" si="284"/>
        <v>28925595</v>
      </c>
      <c r="I352" s="16"/>
      <c r="J352" s="436">
        <f t="shared" si="285"/>
        <v>2.682210734819045E-3</v>
      </c>
      <c r="K352" s="16"/>
      <c r="L352" s="16"/>
      <c r="M352" s="16"/>
      <c r="N352" s="16">
        <f t="shared" si="303"/>
        <v>509815</v>
      </c>
      <c r="O352" s="16">
        <f t="shared" si="286"/>
        <v>84331.180758017494</v>
      </c>
      <c r="P352" s="41"/>
      <c r="Q352" s="17">
        <f t="shared" si="304"/>
        <v>509815</v>
      </c>
      <c r="R352" s="16"/>
      <c r="S352" s="60">
        <f t="shared" si="305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7"/>
        <v>513614</v>
      </c>
      <c r="AB352" s="33"/>
      <c r="AC352" s="46">
        <f t="shared" si="288"/>
        <v>1.7756384959410516E-2</v>
      </c>
      <c r="AD352" s="33"/>
      <c r="AE352" s="33">
        <f t="shared" si="289"/>
        <v>1497.4169096209912</v>
      </c>
      <c r="AF352" s="50"/>
      <c r="AG352" s="33">
        <f t="shared" si="290"/>
        <v>15585</v>
      </c>
      <c r="AH352" s="33">
        <f t="shared" si="266"/>
        <v>1127511111.060914</v>
      </c>
      <c r="AI352" s="213">
        <f t="shared" si="291"/>
        <v>8.7578506629448716E-2</v>
      </c>
      <c r="AJ352" s="50"/>
      <c r="AK352" s="111"/>
      <c r="AL352" s="23">
        <f t="shared" si="307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93"/>
        <v>4.9184271891134839E-3</v>
      </c>
      <c r="AS352" s="25"/>
      <c r="AT352" s="25"/>
      <c r="AU352" s="24"/>
      <c r="AV352" s="298">
        <f t="shared" si="294"/>
        <v>0.67191195202726162</v>
      </c>
      <c r="AW352" s="298"/>
      <c r="AX352" s="24">
        <f t="shared" si="295"/>
        <v>56663.128279883385</v>
      </c>
      <c r="AY352" s="308"/>
      <c r="AZ352" s="111"/>
      <c r="BA352" s="65">
        <f t="shared" si="296"/>
        <v>1805732</v>
      </c>
      <c r="BB352" s="66"/>
      <c r="BC352" s="66">
        <v>354338153</v>
      </c>
      <c r="BD352" s="66"/>
      <c r="BE352" s="66">
        <f t="shared" si="297"/>
        <v>77377</v>
      </c>
      <c r="BF352" s="66"/>
      <c r="BG352" s="144">
        <f t="shared" si="298"/>
        <v>4.2850766337418841E-2</v>
      </c>
      <c r="BH352" s="66"/>
      <c r="BI352" s="170"/>
      <c r="BJ352" s="66"/>
      <c r="BK352" s="66">
        <f t="shared" si="299"/>
        <v>12830304</v>
      </c>
      <c r="BL352" s="66"/>
      <c r="BM352" s="144">
        <f t="shared" si="300"/>
        <v>3.9735223732812568E-2</v>
      </c>
      <c r="BN352" s="65">
        <f t="shared" si="301"/>
        <v>1033055.8396501457</v>
      </c>
      <c r="BO352" s="66"/>
      <c r="BP352" s="66">
        <f t="shared" si="302"/>
        <v>28018617</v>
      </c>
      <c r="BQ352" s="66"/>
      <c r="BR352" s="435">
        <f t="shared" si="306"/>
        <v>7.9073102240841672E-2</v>
      </c>
      <c r="BS352" s="66"/>
      <c r="BT352" s="75"/>
      <c r="BU352" s="170"/>
      <c r="BV352" s="1"/>
      <c r="BW352" s="61">
        <f t="shared" si="189"/>
        <v>343</v>
      </c>
    </row>
    <row r="353" spans="2:75" x14ac:dyDescent="0.3">
      <c r="B353" s="158">
        <f t="shared" si="163"/>
        <v>44253</v>
      </c>
      <c r="C353" s="61"/>
      <c r="D353" s="17">
        <v>80625</v>
      </c>
      <c r="E353" s="16"/>
      <c r="F353" s="16"/>
      <c r="G353" s="16"/>
      <c r="H353" s="16">
        <f t="shared" si="284"/>
        <v>29006220</v>
      </c>
      <c r="I353" s="16"/>
      <c r="J353" s="436">
        <f t="shared" si="285"/>
        <v>2.787323821688024E-3</v>
      </c>
      <c r="K353" s="16"/>
      <c r="L353" s="16"/>
      <c r="M353" s="16"/>
      <c r="N353" s="16">
        <f t="shared" si="303"/>
        <v>504901</v>
      </c>
      <c r="O353" s="16">
        <f t="shared" si="286"/>
        <v>84320.406976744183</v>
      </c>
      <c r="P353" s="41"/>
      <c r="Q353" s="17">
        <f t="shared" si="304"/>
        <v>504901</v>
      </c>
      <c r="R353" s="16"/>
      <c r="S353" s="60">
        <f t="shared" si="305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7"/>
        <v>515860</v>
      </c>
      <c r="AB353" s="33"/>
      <c r="AC353" s="46">
        <f t="shared" si="288"/>
        <v>1.7784461401726941E-2</v>
      </c>
      <c r="AD353" s="33"/>
      <c r="AE353" s="33">
        <f t="shared" si="289"/>
        <v>1499.5930232558139</v>
      </c>
      <c r="AF353" s="50"/>
      <c r="AG353" s="33">
        <f t="shared" si="290"/>
        <v>15186</v>
      </c>
      <c r="AH353" s="33">
        <f t="shared" si="266"/>
        <v>1127351080.060914</v>
      </c>
      <c r="AI353" s="213">
        <f t="shared" si="291"/>
        <v>7.9547878012369372E-2</v>
      </c>
      <c r="AJ353" s="50"/>
      <c r="AK353" s="111"/>
      <c r="AL353" s="23">
        <f t="shared" si="307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93"/>
        <v>5.0739748643882912E-3</v>
      </c>
      <c r="AS353" s="25"/>
      <c r="AT353" s="25"/>
      <c r="AU353" s="24"/>
      <c r="AV353" s="298">
        <f t="shared" si="294"/>
        <v>0.67344410957373968</v>
      </c>
      <c r="AW353" s="298"/>
      <c r="AX353" s="24">
        <f t="shared" si="295"/>
        <v>56785.08139534884</v>
      </c>
      <c r="AY353" s="308"/>
      <c r="AZ353" s="111"/>
      <c r="BA353" s="65">
        <f t="shared" si="296"/>
        <v>1743779</v>
      </c>
      <c r="BB353" s="66"/>
      <c r="BC353" s="66">
        <v>356081932</v>
      </c>
      <c r="BD353" s="66"/>
      <c r="BE353" s="66">
        <f t="shared" si="297"/>
        <v>80625</v>
      </c>
      <c r="BF353" s="66"/>
      <c r="BG353" s="144">
        <f t="shared" si="298"/>
        <v>4.623579020047839E-2</v>
      </c>
      <c r="BH353" s="66"/>
      <c r="BI353" s="170"/>
      <c r="BJ353" s="66"/>
      <c r="BK353" s="66">
        <f t="shared" si="299"/>
        <v>12014083</v>
      </c>
      <c r="BL353" s="66"/>
      <c r="BM353" s="144">
        <f t="shared" si="300"/>
        <v>4.2025762598776786E-2</v>
      </c>
      <c r="BN353" s="65">
        <f t="shared" si="301"/>
        <v>1035121.8953488372</v>
      </c>
      <c r="BO353" s="66"/>
      <c r="BP353" s="66">
        <f t="shared" si="302"/>
        <v>28099242</v>
      </c>
      <c r="BQ353" s="66"/>
      <c r="BR353" s="435">
        <f t="shared" si="306"/>
        <v>7.8912293702113473E-2</v>
      </c>
      <c r="BS353" s="66"/>
      <c r="BT353" s="75"/>
      <c r="BU353" s="170"/>
      <c r="BV353" s="1"/>
      <c r="BW353" s="61">
        <f t="shared" si="189"/>
        <v>344</v>
      </c>
    </row>
    <row r="354" spans="2:75" x14ac:dyDescent="0.3">
      <c r="B354" s="158">
        <f t="shared" si="163"/>
        <v>44254</v>
      </c>
      <c r="C354" s="61"/>
      <c r="D354" s="17">
        <v>64320</v>
      </c>
      <c r="E354" s="16"/>
      <c r="F354" s="16"/>
      <c r="G354" s="16"/>
      <c r="H354" s="16">
        <f t="shared" si="284"/>
        <v>29070540</v>
      </c>
      <c r="I354" s="16"/>
      <c r="J354" s="436">
        <f t="shared" si="285"/>
        <v>2.2174554285253299E-3</v>
      </c>
      <c r="K354" s="16"/>
      <c r="L354" s="16"/>
      <c r="M354" s="16"/>
      <c r="N354" s="16">
        <f t="shared" si="303"/>
        <v>499604</v>
      </c>
      <c r="O354" s="16">
        <f t="shared" si="286"/>
        <v>84262.434782608689</v>
      </c>
      <c r="P354" s="41"/>
      <c r="Q354" s="17">
        <f t="shared" si="304"/>
        <v>499604</v>
      </c>
      <c r="R354" s="16"/>
      <c r="S354" s="60">
        <f t="shared" si="305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7"/>
        <v>517414</v>
      </c>
      <c r="AB354" s="33"/>
      <c r="AC354" s="46">
        <f t="shared" si="288"/>
        <v>1.779856858524128E-2</v>
      </c>
      <c r="AD354" s="33"/>
      <c r="AE354" s="33">
        <f t="shared" si="289"/>
        <v>1499.7507246376811</v>
      </c>
      <c r="AF354" s="50"/>
      <c r="AG354" s="33">
        <f t="shared" si="290"/>
        <v>14833</v>
      </c>
      <c r="AH354" s="33">
        <f t="shared" si="266"/>
        <v>1127188447.060914</v>
      </c>
      <c r="AI354" s="213">
        <f t="shared" si="291"/>
        <v>8.2542694497153707E-2</v>
      </c>
      <c r="AJ354" s="50"/>
      <c r="AK354" s="111"/>
      <c r="AL354" s="23">
        <f t="shared" si="307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93"/>
        <v>5.040168796381788E-3</v>
      </c>
      <c r="AS354" s="25"/>
      <c r="AT354" s="25"/>
      <c r="AU354" s="24"/>
      <c r="AV354" s="298">
        <f t="shared" si="294"/>
        <v>0.67534084334174738</v>
      </c>
      <c r="AW354" s="298"/>
      <c r="AX354" s="24">
        <f t="shared" si="295"/>
        <v>56905.863768115945</v>
      </c>
      <c r="AY354" s="308"/>
      <c r="AZ354" s="111"/>
      <c r="BA354" s="65">
        <f t="shared" si="296"/>
        <v>1626064</v>
      </c>
      <c r="BB354" s="66"/>
      <c r="BC354" s="66">
        <v>357707996</v>
      </c>
      <c r="BD354" s="66"/>
      <c r="BE354" s="66">
        <f t="shared" si="297"/>
        <v>64320</v>
      </c>
      <c r="BF354" s="66"/>
      <c r="BG354" s="144">
        <f t="shared" si="298"/>
        <v>3.9555638646449343E-2</v>
      </c>
      <c r="BH354" s="66"/>
      <c r="BI354" s="170"/>
      <c r="BJ354" s="66"/>
      <c r="BK354" s="66">
        <f t="shared" si="299"/>
        <v>10756231</v>
      </c>
      <c r="BL354" s="66"/>
      <c r="BM354" s="144">
        <f t="shared" si="300"/>
        <v>4.6447868217036246E-2</v>
      </c>
      <c r="BN354" s="65">
        <f t="shared" si="301"/>
        <v>1036834.7710144927</v>
      </c>
      <c r="BO354" s="66"/>
      <c r="BP354" s="66">
        <f t="shared" si="302"/>
        <v>28163562</v>
      </c>
      <c r="BQ354" s="66"/>
      <c r="BR354" s="435">
        <f t="shared" si="306"/>
        <v>7.8733386770588151E-2</v>
      </c>
      <c r="BS354" s="66"/>
      <c r="BT354" s="75"/>
      <c r="BU354" s="170"/>
      <c r="BV354" s="1"/>
      <c r="BW354" s="61">
        <f t="shared" si="189"/>
        <v>345</v>
      </c>
    </row>
    <row r="355" spans="2:75" x14ac:dyDescent="0.3">
      <c r="B355" s="347">
        <f t="shared" si="163"/>
        <v>44255</v>
      </c>
      <c r="C355" s="61"/>
      <c r="D355" s="17">
        <v>49412</v>
      </c>
      <c r="E355" s="16"/>
      <c r="F355" s="16"/>
      <c r="G355" s="16"/>
      <c r="H355" s="16">
        <f t="shared" si="284"/>
        <v>29119952</v>
      </c>
      <c r="I355" s="16"/>
      <c r="J355" s="436">
        <f t="shared" si="285"/>
        <v>1.6997276280385572E-3</v>
      </c>
      <c r="K355" s="16"/>
      <c r="L355" s="16"/>
      <c r="M355" s="16"/>
      <c r="N355" s="16">
        <f t="shared" si="303"/>
        <v>491791</v>
      </c>
      <c r="O355" s="16">
        <f t="shared" si="286"/>
        <v>84161.710982658959</v>
      </c>
      <c r="P355" s="41"/>
      <c r="Q355" s="17">
        <f t="shared" si="304"/>
        <v>491791</v>
      </c>
      <c r="R355" s="16"/>
      <c r="S355" s="60">
        <f t="shared" si="305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7"/>
        <v>518697</v>
      </c>
      <c r="AB355" s="33"/>
      <c r="AC355" s="46">
        <f t="shared" si="288"/>
        <v>1.7812426339164297E-2</v>
      </c>
      <c r="AD355" s="33"/>
      <c r="AE355" s="33">
        <f t="shared" si="289"/>
        <v>1499.1242774566474</v>
      </c>
      <c r="AF355" s="50"/>
      <c r="AG355" s="33">
        <f t="shared" si="290"/>
        <v>14869</v>
      </c>
      <c r="AH355" s="33">
        <f t="shared" si="266"/>
        <v>1127019414.060914</v>
      </c>
      <c r="AI355" s="213">
        <f t="shared" si="291"/>
        <v>7.4504986269692153E-2</v>
      </c>
      <c r="AJ355" s="50"/>
      <c r="AK355" s="111"/>
      <c r="AL355" s="23">
        <f t="shared" si="307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93"/>
        <v>3.1469719913227658E-3</v>
      </c>
      <c r="AS355" s="25"/>
      <c r="AT355" s="25"/>
      <c r="AU355" s="24"/>
      <c r="AV355" s="298">
        <f t="shared" si="294"/>
        <v>0.67631656810423313</v>
      </c>
      <c r="AW355" s="298"/>
      <c r="AX355" s="24">
        <f t="shared" si="295"/>
        <v>56919.959537572257</v>
      </c>
      <c r="AY355" s="308"/>
      <c r="AZ355" s="111"/>
      <c r="BA355" s="65">
        <f t="shared" si="296"/>
        <v>1313574</v>
      </c>
      <c r="BB355" s="66"/>
      <c r="BC355" s="66">
        <v>359021570</v>
      </c>
      <c r="BD355" s="66"/>
      <c r="BE355" s="66">
        <f t="shared" si="297"/>
        <v>49412</v>
      </c>
      <c r="BF355" s="66"/>
      <c r="BG355" s="144">
        <f t="shared" si="298"/>
        <v>3.7616457085782755E-2</v>
      </c>
      <c r="BH355" s="66"/>
      <c r="BI355" s="170"/>
      <c r="BJ355" s="66"/>
      <c r="BK355" s="66">
        <f t="shared" si="299"/>
        <v>10925369</v>
      </c>
      <c r="BL355" s="66"/>
      <c r="BM355" s="144">
        <f t="shared" si="300"/>
        <v>4.5013674137688163E-2</v>
      </c>
      <c r="BN355" s="65">
        <f t="shared" si="301"/>
        <v>1037634.5953757225</v>
      </c>
      <c r="BO355" s="66"/>
      <c r="BP355" s="66">
        <f t="shared" si="302"/>
        <v>28212974</v>
      </c>
      <c r="BQ355" s="66"/>
      <c r="BR355" s="435">
        <f t="shared" si="306"/>
        <v>7.8582949765385962E-2</v>
      </c>
      <c r="BS355" s="66"/>
      <c r="BT355" s="75"/>
      <c r="BU355" s="170"/>
      <c r="BV355" s="1"/>
      <c r="BW355" s="61">
        <f t="shared" si="189"/>
        <v>346</v>
      </c>
    </row>
    <row r="356" spans="2:75" x14ac:dyDescent="0.3">
      <c r="B356" s="158">
        <f t="shared" si="163"/>
        <v>44256</v>
      </c>
      <c r="C356" s="61"/>
      <c r="D356" s="17">
        <v>55181</v>
      </c>
      <c r="E356" s="16"/>
      <c r="F356" s="16"/>
      <c r="G356" s="16"/>
      <c r="H356" s="16">
        <f t="shared" si="284"/>
        <v>29175133</v>
      </c>
      <c r="I356" s="16"/>
      <c r="J356" s="436">
        <f t="shared" si="285"/>
        <v>1.8949550466291977E-3</v>
      </c>
      <c r="K356" s="16"/>
      <c r="L356" s="16"/>
      <c r="M356" s="16"/>
      <c r="N356" s="16">
        <f t="shared" si="303"/>
        <v>475918</v>
      </c>
      <c r="O356" s="16">
        <f t="shared" si="286"/>
        <v>84078.193083573482</v>
      </c>
      <c r="P356" s="41"/>
      <c r="Q356" s="17">
        <f t="shared" si="304"/>
        <v>475918</v>
      </c>
      <c r="R356" s="16"/>
      <c r="S356" s="60">
        <f t="shared" si="305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7"/>
        <v>520181</v>
      </c>
      <c r="AB356" s="33"/>
      <c r="AC356" s="46">
        <f t="shared" si="288"/>
        <v>1.7829601667968403E-2</v>
      </c>
      <c r="AD356" s="33"/>
      <c r="AE356" s="33">
        <f t="shared" si="289"/>
        <v>1499.0806916426513</v>
      </c>
      <c r="AF356" s="50"/>
      <c r="AG356" s="33">
        <f t="shared" si="290"/>
        <v>13949</v>
      </c>
      <c r="AH356" s="33">
        <f t="shared" si="266"/>
        <v>1126878682.060914</v>
      </c>
      <c r="AI356" s="213">
        <f t="shared" si="291"/>
        <v>-8.7585034013605442E-2</v>
      </c>
      <c r="AJ356" s="50"/>
      <c r="AK356" s="111" t="s">
        <v>26</v>
      </c>
      <c r="AL356" s="23">
        <f t="shared" si="307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93"/>
        <v>4.3675567953498848E-3</v>
      </c>
      <c r="AS356" s="25"/>
      <c r="AT356" s="25"/>
      <c r="AU356" s="24"/>
      <c r="AV356" s="298">
        <f t="shared" si="294"/>
        <v>0.67798566676628347</v>
      </c>
      <c r="AW356" s="298"/>
      <c r="AX356" s="24">
        <f t="shared" si="295"/>
        <v>57003.809798270893</v>
      </c>
      <c r="AY356" s="308"/>
      <c r="AZ356" s="111" t="s">
        <v>26</v>
      </c>
      <c r="BA356" s="65">
        <f t="shared" si="296"/>
        <v>1727242</v>
      </c>
      <c r="BB356" s="66"/>
      <c r="BC356" s="66">
        <f>361948812-1200000</f>
        <v>360748812</v>
      </c>
      <c r="BD356" s="66"/>
      <c r="BE356" s="66">
        <f t="shared" si="297"/>
        <v>55181</v>
      </c>
      <c r="BF356" s="66"/>
      <c r="BG356" s="144">
        <f t="shared" si="298"/>
        <v>3.1947463065395587E-2</v>
      </c>
      <c r="BH356" s="66"/>
      <c r="BI356" s="170"/>
      <c r="BJ356" s="66"/>
      <c r="BK356" s="66">
        <f t="shared" si="299"/>
        <v>9695133</v>
      </c>
      <c r="BL356" s="66"/>
      <c r="BM356" s="144">
        <f t="shared" si="300"/>
        <v>4.9088341542091275E-2</v>
      </c>
      <c r="BN356" s="65">
        <f t="shared" si="301"/>
        <v>1039621.9365994236</v>
      </c>
      <c r="BO356" s="66"/>
      <c r="BP356" s="66">
        <f t="shared" si="302"/>
        <v>28268155</v>
      </c>
      <c r="BQ356" s="66"/>
      <c r="BR356" s="435">
        <f t="shared" si="306"/>
        <v>7.8359662068686178E-2</v>
      </c>
      <c r="BS356" s="66"/>
      <c r="BT356" s="75"/>
      <c r="BU356" s="170"/>
      <c r="BV356" s="1"/>
      <c r="BW356" s="61">
        <f t="shared" si="189"/>
        <v>347</v>
      </c>
    </row>
    <row r="357" spans="2:75" x14ac:dyDescent="0.3">
      <c r="B357" s="158">
        <f t="shared" si="163"/>
        <v>44257</v>
      </c>
      <c r="C357" s="61"/>
      <c r="D357" s="17">
        <v>56890</v>
      </c>
      <c r="E357" s="16"/>
      <c r="F357" s="16"/>
      <c r="G357" s="16"/>
      <c r="H357" s="16">
        <f t="shared" si="284"/>
        <v>29232023</v>
      </c>
      <c r="I357" s="16"/>
      <c r="J357" s="436">
        <f t="shared" si="285"/>
        <v>1.9499482658742293E-3</v>
      </c>
      <c r="K357" s="16"/>
      <c r="L357" s="16"/>
      <c r="M357" s="16"/>
      <c r="N357" s="16">
        <f t="shared" si="303"/>
        <v>459104</v>
      </c>
      <c r="O357" s="16">
        <f t="shared" si="286"/>
        <v>84000.066091954024</v>
      </c>
      <c r="P357" s="41"/>
      <c r="Q357" s="17">
        <f t="shared" si="304"/>
        <v>459104</v>
      </c>
      <c r="R357" s="16"/>
      <c r="S357" s="60">
        <f t="shared" si="305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7"/>
        <v>522170</v>
      </c>
      <c r="AB357" s="33"/>
      <c r="AC357" s="46">
        <f t="shared" si="288"/>
        <v>1.7862944347026549E-2</v>
      </c>
      <c r="AD357" s="33"/>
      <c r="AE357" s="33">
        <f t="shared" si="289"/>
        <v>1500.4885057471265</v>
      </c>
      <c r="AF357" s="50"/>
      <c r="AG357" s="33">
        <f t="shared" si="290"/>
        <v>13495</v>
      </c>
      <c r="AH357" s="33">
        <f t="shared" si="266"/>
        <v>1126770866.060914</v>
      </c>
      <c r="AI357" s="213">
        <f t="shared" si="291"/>
        <v>-0.15360010035122931</v>
      </c>
      <c r="AJ357" s="50"/>
      <c r="AK357" s="111" t="s">
        <v>26</v>
      </c>
      <c r="AL357" s="23">
        <f t="shared" si="307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93"/>
        <v>6.3194117871286423E-3</v>
      </c>
      <c r="AS357" s="25"/>
      <c r="AT357" s="25"/>
      <c r="AU357" s="24"/>
      <c r="AV357" s="298">
        <f t="shared" si="294"/>
        <v>0.68094233505494983</v>
      </c>
      <c r="AW357" s="298"/>
      <c r="AX357" s="24">
        <f t="shared" si="295"/>
        <v>57199.201149425287</v>
      </c>
      <c r="AY357" s="308"/>
      <c r="AZ357" s="111" t="s">
        <v>26</v>
      </c>
      <c r="BA357" s="65">
        <f t="shared" si="296"/>
        <v>1200000</v>
      </c>
      <c r="BB357" s="66"/>
      <c r="BC357" s="66">
        <v>361948812</v>
      </c>
      <c r="BD357" s="66"/>
      <c r="BE357" s="66">
        <f t="shared" si="297"/>
        <v>56890</v>
      </c>
      <c r="BF357" s="66"/>
      <c r="BG357" s="144">
        <f t="shared" si="298"/>
        <v>4.740833333333333E-2</v>
      </c>
      <c r="BH357" s="66"/>
      <c r="BI357" s="170"/>
      <c r="BJ357" s="66"/>
      <c r="BK357" s="66">
        <f t="shared" si="299"/>
        <v>10198812</v>
      </c>
      <c r="BL357" s="66"/>
      <c r="BM357" s="144">
        <f t="shared" si="300"/>
        <v>4.5015439053097558E-2</v>
      </c>
      <c r="BN357" s="65">
        <f t="shared" si="301"/>
        <v>1040082.7931034482</v>
      </c>
      <c r="BO357" s="66"/>
      <c r="BP357" s="66">
        <f t="shared" si="302"/>
        <v>28325045</v>
      </c>
      <c r="BQ357" s="66"/>
      <c r="BR357" s="435">
        <f t="shared" si="306"/>
        <v>7.8257046468769728E-2</v>
      </c>
      <c r="BS357" s="66"/>
      <c r="BT357" s="75"/>
      <c r="BU357" s="170"/>
      <c r="BV357" s="1"/>
      <c r="BW357" s="61">
        <f t="shared" si="189"/>
        <v>348</v>
      </c>
    </row>
    <row r="358" spans="2:75" x14ac:dyDescent="0.3">
      <c r="B358" s="158">
        <f t="shared" si="163"/>
        <v>44258</v>
      </c>
      <c r="C358" s="61"/>
      <c r="D358" s="17">
        <v>67225</v>
      </c>
      <c r="E358" s="16"/>
      <c r="F358" s="16"/>
      <c r="G358" s="16"/>
      <c r="H358" s="16">
        <f t="shared" ref="H358:H383" si="308">+H357+D358</f>
        <v>29299248</v>
      </c>
      <c r="I358" s="16"/>
      <c r="J358" s="436">
        <f t="shared" ref="J358:J383" si="309">+D358/H357</f>
        <v>2.2997039924332299E-3</v>
      </c>
      <c r="K358" s="16"/>
      <c r="L358" s="16"/>
      <c r="M358" s="16"/>
      <c r="N358" s="16">
        <f t="shared" si="303"/>
        <v>451030</v>
      </c>
      <c r="O358" s="16">
        <f t="shared" ref="O358:O383" si="310">+H358/BW358</f>
        <v>83952</v>
      </c>
      <c r="P358" s="41"/>
      <c r="Q358" s="17">
        <f t="shared" si="304"/>
        <v>451030</v>
      </c>
      <c r="R358" s="16"/>
      <c r="S358" s="60">
        <f t="shared" si="305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11">+AA357+W358</f>
        <v>524511</v>
      </c>
      <c r="AB358" s="33"/>
      <c r="AC358" s="46">
        <f t="shared" ref="AC358:AC383" si="312">+AA358/H358</f>
        <v>1.7901858778081949E-2</v>
      </c>
      <c r="AD358" s="33"/>
      <c r="AE358" s="33">
        <f t="shared" ref="AE358:AE383" si="313">+AA358/BW358</f>
        <v>1502.8968481375359</v>
      </c>
      <c r="AF358" s="50"/>
      <c r="AG358" s="33">
        <f t="shared" ref="AG358:AG383" si="314">SUM(W352:W358)</f>
        <v>13311</v>
      </c>
      <c r="AH358" s="33">
        <f t="shared" ref="AH358:AH421" si="315">SUM(D329:D777)</f>
        <v>1126644414.060914</v>
      </c>
      <c r="AI358" s="213">
        <f t="shared" ref="AI358:AI383" si="316">+(AG358-AG351)/AG351</f>
        <v>-0.16451167461712277</v>
      </c>
      <c r="AJ358" s="50"/>
      <c r="AK358" s="111"/>
      <c r="AL358" s="23">
        <f t="shared" si="307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7">+AL358/AP357</f>
        <v>4.9234571538204711E-3</v>
      </c>
      <c r="AS358" s="25"/>
      <c r="AT358" s="25"/>
      <c r="AU358" s="24"/>
      <c r="AV358" s="298">
        <f t="shared" ref="AV358:AV383" si="318">+AP358/H358</f>
        <v>0.68272486037866909</v>
      </c>
      <c r="AW358" s="298"/>
      <c r="AX358" s="24">
        <f t="shared" ref="AX358:AX383" si="319">+AP358/BW358</f>
        <v>57316.11747851003</v>
      </c>
      <c r="AY358" s="308"/>
      <c r="AZ358" s="111"/>
      <c r="BA358" s="65">
        <f t="shared" ref="BA358:BA383" si="320">+BC358-BC357</f>
        <v>1458939</v>
      </c>
      <c r="BB358" s="66"/>
      <c r="BC358" s="66">
        <v>363407751</v>
      </c>
      <c r="BD358" s="66"/>
      <c r="BE358" s="66">
        <f t="shared" ref="BE358:BE383" si="321">+D358</f>
        <v>67225</v>
      </c>
      <c r="BF358" s="66"/>
      <c r="BG358" s="144">
        <f t="shared" ref="BG358:BG383" si="322">+BE358/BA358</f>
        <v>4.6078006002992583E-2</v>
      </c>
      <c r="BH358" s="66"/>
      <c r="BI358" s="170"/>
      <c r="BJ358" s="66"/>
      <c r="BK358" s="66">
        <f t="shared" ref="BK358:BK383" si="323">SUM(BA352:BA358)</f>
        <v>10875330</v>
      </c>
      <c r="BL358" s="66"/>
      <c r="BM358" s="144">
        <f t="shared" ref="BM358:BM383" si="324">+Q358/BK358</f>
        <v>4.1472764504617329E-2</v>
      </c>
      <c r="BN358" s="65">
        <f t="shared" ref="BN358:BN383" si="325">+BC358/BW358</f>
        <v>1041282.9541547277</v>
      </c>
      <c r="BO358" s="66"/>
      <c r="BP358" s="66">
        <f t="shared" ref="BP358:BP383" si="326">+BP357+BE358</f>
        <v>28392270</v>
      </c>
      <c r="BQ358" s="66"/>
      <c r="BR358" s="435">
        <f t="shared" si="306"/>
        <v>7.8127860294317161E-2</v>
      </c>
      <c r="BS358" s="66"/>
      <c r="BT358" s="75"/>
      <c r="BU358" s="170"/>
      <c r="BV358" s="1"/>
      <c r="BW358" s="61">
        <f t="shared" si="189"/>
        <v>349</v>
      </c>
    </row>
    <row r="359" spans="2:75" x14ac:dyDescent="0.3">
      <c r="B359" s="158">
        <f t="shared" si="163"/>
        <v>44259</v>
      </c>
      <c r="C359" s="61"/>
      <c r="D359" s="17">
        <v>68321</v>
      </c>
      <c r="E359" s="16"/>
      <c r="F359" s="16"/>
      <c r="G359" s="16"/>
      <c r="H359" s="16">
        <f t="shared" si="308"/>
        <v>29367569</v>
      </c>
      <c r="I359" s="16"/>
      <c r="J359" s="436">
        <f t="shared" si="309"/>
        <v>2.3318345917956664E-3</v>
      </c>
      <c r="K359" s="16"/>
      <c r="L359" s="16"/>
      <c r="M359" s="16"/>
      <c r="N359" s="16">
        <f t="shared" si="303"/>
        <v>441974</v>
      </c>
      <c r="O359" s="16">
        <f t="shared" si="310"/>
        <v>83907.34</v>
      </c>
      <c r="P359" s="41"/>
      <c r="Q359" s="17">
        <f t="shared" si="304"/>
        <v>441974</v>
      </c>
      <c r="R359" s="16"/>
      <c r="S359" s="60">
        <f t="shared" si="305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11"/>
        <v>526504</v>
      </c>
      <c r="AB359" s="33"/>
      <c r="AC359" s="46">
        <f t="shared" si="312"/>
        <v>1.7928075694654877E-2</v>
      </c>
      <c r="AD359" s="33"/>
      <c r="AE359" s="33">
        <f t="shared" si="313"/>
        <v>1504.2971428571429</v>
      </c>
      <c r="AF359" s="50"/>
      <c r="AG359" s="33">
        <f t="shared" si="314"/>
        <v>12890</v>
      </c>
      <c r="AH359" s="33">
        <f t="shared" si="315"/>
        <v>1126528187.060914</v>
      </c>
      <c r="AI359" s="213">
        <f t="shared" si="316"/>
        <v>-0.17292268206608918</v>
      </c>
      <c r="AJ359" s="50"/>
      <c r="AK359" s="111"/>
      <c r="AL359" s="23">
        <f t="shared" si="307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7"/>
        <v>4.5051010269542687E-3</v>
      </c>
      <c r="AS359" s="25"/>
      <c r="AT359" s="25"/>
      <c r="AU359" s="24"/>
      <c r="AV359" s="298">
        <f t="shared" si="318"/>
        <v>0.6842051516078842</v>
      </c>
      <c r="AW359" s="298"/>
      <c r="AX359" s="24">
        <f t="shared" si="319"/>
        <v>57409.834285714285</v>
      </c>
      <c r="AY359" s="308"/>
      <c r="AZ359" s="111"/>
      <c r="BA359" s="65">
        <f t="shared" si="320"/>
        <v>1609442</v>
      </c>
      <c r="BB359" s="66"/>
      <c r="BC359" s="66">
        <v>365017193</v>
      </c>
      <c r="BD359" s="66"/>
      <c r="BE359" s="66">
        <f t="shared" si="321"/>
        <v>68321</v>
      </c>
      <c r="BF359" s="66"/>
      <c r="BG359" s="144">
        <f t="shared" si="322"/>
        <v>4.2450116251471007E-2</v>
      </c>
      <c r="BH359" s="66"/>
      <c r="BI359" s="170"/>
      <c r="BJ359" s="66"/>
      <c r="BK359" s="66">
        <f t="shared" si="323"/>
        <v>10679040</v>
      </c>
      <c r="BL359" s="66"/>
      <c r="BM359" s="144">
        <f t="shared" si="324"/>
        <v>4.1387053517919214E-2</v>
      </c>
      <c r="BN359" s="65">
        <f t="shared" si="325"/>
        <v>1042906.2657142857</v>
      </c>
      <c r="BO359" s="66"/>
      <c r="BP359" s="66">
        <f t="shared" si="326"/>
        <v>28460591</v>
      </c>
      <c r="BQ359" s="66"/>
      <c r="BR359" s="435">
        <f t="shared" si="306"/>
        <v>7.7970549184514709E-2</v>
      </c>
      <c r="BS359" s="66"/>
      <c r="BT359" s="75"/>
      <c r="BU359" s="170"/>
      <c r="BV359" s="1"/>
      <c r="BW359" s="61">
        <f t="shared" si="189"/>
        <v>350</v>
      </c>
    </row>
    <row r="360" spans="2:75" x14ac:dyDescent="0.3">
      <c r="B360" s="158">
        <f t="shared" si="163"/>
        <v>44260</v>
      </c>
      <c r="C360" s="61"/>
      <c r="D360" s="17">
        <v>69240</v>
      </c>
      <c r="E360" s="16"/>
      <c r="F360" s="16"/>
      <c r="G360" s="16"/>
      <c r="H360" s="16">
        <f t="shared" si="308"/>
        <v>29436809</v>
      </c>
      <c r="I360" s="16"/>
      <c r="J360" s="436">
        <f t="shared" si="309"/>
        <v>2.3577028115606027E-3</v>
      </c>
      <c r="K360" s="16"/>
      <c r="L360" s="16"/>
      <c r="M360" s="16"/>
      <c r="N360" s="16">
        <f t="shared" si="303"/>
        <v>430589</v>
      </c>
      <c r="O360" s="16">
        <f t="shared" si="310"/>
        <v>83865.552706552713</v>
      </c>
      <c r="P360" s="41"/>
      <c r="Q360" s="17">
        <f t="shared" si="304"/>
        <v>430589</v>
      </c>
      <c r="R360" s="16"/>
      <c r="S360" s="60">
        <f t="shared" si="305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11"/>
        <v>528340</v>
      </c>
      <c r="AB360" s="33"/>
      <c r="AC360" s="46">
        <f t="shared" si="312"/>
        <v>1.7948276934500611E-2</v>
      </c>
      <c r="AD360" s="33"/>
      <c r="AE360" s="33">
        <f t="shared" si="313"/>
        <v>1505.2421652421651</v>
      </c>
      <c r="AF360" s="50"/>
      <c r="AG360" s="33">
        <f t="shared" si="314"/>
        <v>12480</v>
      </c>
      <c r="AH360" s="33">
        <f t="shared" si="315"/>
        <v>1126414728.060914</v>
      </c>
      <c r="AI360" s="213">
        <f t="shared" si="316"/>
        <v>-0.17819043856183328</v>
      </c>
      <c r="AJ360" s="50"/>
      <c r="AK360" s="111"/>
      <c r="AL360" s="23">
        <f t="shared" si="307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7"/>
        <v>4.489126352767236E-3</v>
      </c>
      <c r="AS360" s="25"/>
      <c r="AT360" s="25"/>
      <c r="AU360" s="24"/>
      <c r="AV360" s="298">
        <f t="shared" si="318"/>
        <v>0.68566005235146243</v>
      </c>
      <c r="AW360" s="298"/>
      <c r="AX360" s="24">
        <f t="shared" si="319"/>
        <v>57503.259259259263</v>
      </c>
      <c r="AY360" s="308"/>
      <c r="AZ360" s="111"/>
      <c r="BA360" s="65">
        <f t="shared" si="320"/>
        <v>1779519</v>
      </c>
      <c r="BB360" s="66"/>
      <c r="BC360" s="66">
        <v>366796712</v>
      </c>
      <c r="BD360" s="66"/>
      <c r="BE360" s="66">
        <f t="shared" si="321"/>
        <v>69240</v>
      </c>
      <c r="BF360" s="66"/>
      <c r="BG360" s="144">
        <f t="shared" si="322"/>
        <v>3.8909390683662268E-2</v>
      </c>
      <c r="BH360" s="66"/>
      <c r="BI360" s="170"/>
      <c r="BJ360" s="66"/>
      <c r="BK360" s="66">
        <f t="shared" si="323"/>
        <v>10714780</v>
      </c>
      <c r="BL360" s="66"/>
      <c r="BM360" s="144">
        <f t="shared" si="324"/>
        <v>4.0186452731647317E-2</v>
      </c>
      <c r="BN360" s="65">
        <f t="shared" si="325"/>
        <v>1045004.8774928775</v>
      </c>
      <c r="BO360" s="66"/>
      <c r="BP360" s="66">
        <f t="shared" si="326"/>
        <v>28529831</v>
      </c>
      <c r="BQ360" s="66"/>
      <c r="BR360" s="435">
        <f t="shared" si="306"/>
        <v>7.7781043468023239E-2</v>
      </c>
      <c r="BS360" s="66"/>
      <c r="BT360" s="75"/>
      <c r="BU360" s="170"/>
      <c r="BV360" s="1"/>
      <c r="BW360" s="61">
        <f t="shared" si="189"/>
        <v>351</v>
      </c>
    </row>
    <row r="361" spans="2:75" x14ac:dyDescent="0.3">
      <c r="B361" s="158">
        <f t="shared" si="163"/>
        <v>44261</v>
      </c>
      <c r="C361" s="61"/>
      <c r="D361" s="17">
        <v>58228</v>
      </c>
      <c r="E361" s="16"/>
      <c r="F361" s="16"/>
      <c r="G361" s="16"/>
      <c r="H361" s="16">
        <f t="shared" si="308"/>
        <v>29495037</v>
      </c>
      <c r="I361" s="16"/>
      <c r="J361" s="436">
        <f t="shared" si="309"/>
        <v>1.9780676635161101E-3</v>
      </c>
      <c r="K361" s="16"/>
      <c r="L361" s="16"/>
      <c r="M361" s="16"/>
      <c r="N361" s="16">
        <f t="shared" si="303"/>
        <v>424497</v>
      </c>
      <c r="O361" s="16">
        <f t="shared" si="310"/>
        <v>83792.71875</v>
      </c>
      <c r="P361" s="41"/>
      <c r="Q361" s="17">
        <f t="shared" si="304"/>
        <v>424497</v>
      </c>
      <c r="R361" s="16"/>
      <c r="S361" s="60">
        <f t="shared" si="305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11"/>
        <v>529855</v>
      </c>
      <c r="AB361" s="33"/>
      <c r="AC361" s="46">
        <f t="shared" si="312"/>
        <v>1.7964208690431548E-2</v>
      </c>
      <c r="AD361" s="33"/>
      <c r="AE361" s="33">
        <f t="shared" si="313"/>
        <v>1505.2698863636363</v>
      </c>
      <c r="AF361" s="50"/>
      <c r="AG361" s="33">
        <f t="shared" si="314"/>
        <v>12441</v>
      </c>
      <c r="AH361" s="33">
        <f t="shared" si="315"/>
        <v>1126292991.060914</v>
      </c>
      <c r="AI361" s="213">
        <f t="shared" si="316"/>
        <v>-0.16126205083260298</v>
      </c>
      <c r="AJ361" s="50"/>
      <c r="AK361" s="111"/>
      <c r="AL361" s="23">
        <f t="shared" si="307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7"/>
        <v>4.4724827687210493E-3</v>
      </c>
      <c r="AS361" s="25"/>
      <c r="AT361" s="25"/>
      <c r="AU361" s="24"/>
      <c r="AV361" s="298">
        <f t="shared" si="318"/>
        <v>0.68736699669168067</v>
      </c>
      <c r="AW361" s="298"/>
      <c r="AX361" s="24">
        <f t="shared" si="319"/>
        <v>57596.349431818184</v>
      </c>
      <c r="AY361" s="308"/>
      <c r="AZ361" s="111"/>
      <c r="BA361" s="65">
        <f t="shared" si="320"/>
        <v>1295561</v>
      </c>
      <c r="BB361" s="66"/>
      <c r="BC361" s="66">
        <v>368092273</v>
      </c>
      <c r="BD361" s="66"/>
      <c r="BE361" s="66">
        <f t="shared" si="321"/>
        <v>58228</v>
      </c>
      <c r="BF361" s="66"/>
      <c r="BG361" s="144">
        <f t="shared" si="322"/>
        <v>4.4944236512213631E-2</v>
      </c>
      <c r="BH361" s="66"/>
      <c r="BI361" s="170"/>
      <c r="BJ361" s="66"/>
      <c r="BK361" s="66">
        <f t="shared" si="323"/>
        <v>10384277</v>
      </c>
      <c r="BL361" s="66"/>
      <c r="BM361" s="144">
        <f t="shared" si="324"/>
        <v>4.0878820932839136E-2</v>
      </c>
      <c r="BN361" s="65">
        <f t="shared" si="325"/>
        <v>1045716.6846590909</v>
      </c>
      <c r="BO361" s="66"/>
      <c r="BP361" s="66">
        <f t="shared" si="326"/>
        <v>28588059</v>
      </c>
      <c r="BQ361" s="66"/>
      <c r="BR361" s="435">
        <f t="shared" si="306"/>
        <v>7.7665468951585409E-2</v>
      </c>
      <c r="BS361" s="66"/>
      <c r="BT361" s="75"/>
      <c r="BU361" s="170"/>
      <c r="BV361" s="1"/>
      <c r="BW361" s="61">
        <f t="shared" si="189"/>
        <v>352</v>
      </c>
    </row>
    <row r="362" spans="2:75" x14ac:dyDescent="0.3">
      <c r="B362" s="347">
        <f t="shared" si="163"/>
        <v>44262</v>
      </c>
      <c r="C362" s="61"/>
      <c r="D362" s="17">
        <v>41967</v>
      </c>
      <c r="E362" s="16"/>
      <c r="F362" s="16"/>
      <c r="G362" s="16"/>
      <c r="H362" s="16">
        <f t="shared" si="308"/>
        <v>29537004</v>
      </c>
      <c r="I362" s="16"/>
      <c r="J362" s="436">
        <f t="shared" si="309"/>
        <v>1.4228495458405426E-3</v>
      </c>
      <c r="K362" s="16"/>
      <c r="L362" s="16"/>
      <c r="M362" s="16"/>
      <c r="N362" s="16">
        <f t="shared" si="303"/>
        <v>417052</v>
      </c>
      <c r="O362" s="16">
        <f t="shared" si="310"/>
        <v>83674.23229461757</v>
      </c>
      <c r="P362" s="41"/>
      <c r="Q362" s="17">
        <f t="shared" si="304"/>
        <v>417052</v>
      </c>
      <c r="R362" s="16"/>
      <c r="S362" s="60">
        <f t="shared" si="305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11"/>
        <v>530571</v>
      </c>
      <c r="AB362" s="33"/>
      <c r="AC362" s="46">
        <f t="shared" si="312"/>
        <v>1.7962925420601222E-2</v>
      </c>
      <c r="AD362" s="33"/>
      <c r="AE362" s="33">
        <f t="shared" si="313"/>
        <v>1503.0339943342776</v>
      </c>
      <c r="AF362" s="50"/>
      <c r="AG362" s="33">
        <f t="shared" si="314"/>
        <v>11874</v>
      </c>
      <c r="AH362" s="33">
        <f t="shared" si="315"/>
        <v>1126166866.060914</v>
      </c>
      <c r="AI362" s="213">
        <f t="shared" si="316"/>
        <v>-0.20142578519066515</v>
      </c>
      <c r="AJ362" s="50"/>
      <c r="AK362" s="111"/>
      <c r="AL362" s="23">
        <f t="shared" si="307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7"/>
        <v>3.0946662250482949E-3</v>
      </c>
      <c r="AS362" s="25"/>
      <c r="AT362" s="25"/>
      <c r="AU362" s="24"/>
      <c r="AV362" s="298">
        <f t="shared" si="318"/>
        <v>0.68851451555479359</v>
      </c>
      <c r="AW362" s="298"/>
      <c r="AX362" s="24">
        <f t="shared" si="319"/>
        <v>57610.923512747875</v>
      </c>
      <c r="AY362" s="308"/>
      <c r="AZ362" s="111"/>
      <c r="BA362" s="65">
        <f t="shared" si="320"/>
        <v>1117961</v>
      </c>
      <c r="BB362" s="66"/>
      <c r="BC362" s="66">
        <v>369210234</v>
      </c>
      <c r="BD362" s="66"/>
      <c r="BE362" s="66">
        <f t="shared" si="321"/>
        <v>41967</v>
      </c>
      <c r="BF362" s="66"/>
      <c r="BG362" s="144">
        <f t="shared" si="322"/>
        <v>3.7538876579773353E-2</v>
      </c>
      <c r="BH362" s="66"/>
      <c r="BI362" s="170"/>
      <c r="BJ362" s="66"/>
      <c r="BK362" s="66">
        <f t="shared" si="323"/>
        <v>10188664</v>
      </c>
      <c r="BL362" s="66"/>
      <c r="BM362" s="144">
        <f t="shared" si="324"/>
        <v>4.0932942729292085E-2</v>
      </c>
      <c r="BN362" s="65">
        <f t="shared" si="325"/>
        <v>1045921.342776204</v>
      </c>
      <c r="BO362" s="66"/>
      <c r="BP362" s="66">
        <f t="shared" si="326"/>
        <v>28630026</v>
      </c>
      <c r="BQ362" s="66"/>
      <c r="BR362" s="435">
        <f t="shared" si="306"/>
        <v>7.754396645462433E-2</v>
      </c>
      <c r="BS362" s="66"/>
      <c r="BT362" s="75"/>
      <c r="BU362" s="170"/>
      <c r="BV362" s="1"/>
      <c r="BW362" s="61">
        <f t="shared" si="189"/>
        <v>353</v>
      </c>
    </row>
    <row r="363" spans="2:75" x14ac:dyDescent="0.3">
      <c r="B363" s="158">
        <f t="shared" si="163"/>
        <v>44263</v>
      </c>
      <c r="C363" s="61"/>
      <c r="D363" s="17">
        <v>45368</v>
      </c>
      <c r="E363" s="16"/>
      <c r="F363" s="16"/>
      <c r="G363" s="16"/>
      <c r="H363" s="16">
        <f t="shared" si="308"/>
        <v>29582372</v>
      </c>
      <c r="I363" s="16"/>
      <c r="J363" s="436">
        <f t="shared" si="309"/>
        <v>1.5359716239331518E-3</v>
      </c>
      <c r="K363" s="16"/>
      <c r="L363" s="16"/>
      <c r="M363" s="16"/>
      <c r="N363" s="16">
        <f t="shared" si="303"/>
        <v>407239</v>
      </c>
      <c r="O363" s="16">
        <f t="shared" si="310"/>
        <v>83566.022598870055</v>
      </c>
      <c r="P363" s="41"/>
      <c r="Q363" s="17">
        <f t="shared" si="304"/>
        <v>407239</v>
      </c>
      <c r="R363" s="16"/>
      <c r="S363" s="60">
        <f t="shared" si="305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11"/>
        <v>531401</v>
      </c>
      <c r="AB363" s="33"/>
      <c r="AC363" s="46">
        <f t="shared" si="312"/>
        <v>1.7963434439942815E-2</v>
      </c>
      <c r="AD363" s="33"/>
      <c r="AE363" s="33">
        <f t="shared" si="313"/>
        <v>1501.1327683615818</v>
      </c>
      <c r="AF363" s="50"/>
      <c r="AG363" s="33">
        <f t="shared" si="314"/>
        <v>11220</v>
      </c>
      <c r="AH363" s="33">
        <f t="shared" si="315"/>
        <v>1126060883.060914</v>
      </c>
      <c r="AI363" s="213">
        <f t="shared" si="316"/>
        <v>-0.19564126460678186</v>
      </c>
      <c r="AJ363" s="50"/>
      <c r="AK363" s="111"/>
      <c r="AL363" s="23">
        <f t="shared" si="307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7"/>
        <v>5.5722042011233314E-3</v>
      </c>
      <c r="AS363" s="25"/>
      <c r="AT363" s="25"/>
      <c r="AU363" s="24"/>
      <c r="AV363" s="298">
        <f t="shared" si="318"/>
        <v>0.69128925834615296</v>
      </c>
      <c r="AW363" s="298"/>
      <c r="AX363" s="24">
        <f t="shared" si="319"/>
        <v>57768.293785310736</v>
      </c>
      <c r="AY363" s="308"/>
      <c r="AZ363" s="111"/>
      <c r="BA363" s="65">
        <f t="shared" si="320"/>
        <v>1428263</v>
      </c>
      <c r="BB363" s="66"/>
      <c r="BC363" s="66">
        <v>370638497</v>
      </c>
      <c r="BD363" s="66"/>
      <c r="BE363" s="66">
        <f t="shared" si="321"/>
        <v>45368</v>
      </c>
      <c r="BF363" s="66"/>
      <c r="BG363" s="144">
        <f t="shared" si="322"/>
        <v>3.1764457946470641E-2</v>
      </c>
      <c r="BH363" s="66"/>
      <c r="BI363" s="170"/>
      <c r="BJ363" s="66"/>
      <c r="BK363" s="66">
        <f t="shared" si="323"/>
        <v>9889685</v>
      </c>
      <c r="BL363" s="66"/>
      <c r="BM363" s="144">
        <f t="shared" si="324"/>
        <v>4.117815683714901E-2</v>
      </c>
      <c r="BN363" s="65">
        <f t="shared" si="325"/>
        <v>1047001.4039548023</v>
      </c>
      <c r="BO363" s="66"/>
      <c r="BP363" s="66">
        <f t="shared" si="326"/>
        <v>28675394</v>
      </c>
      <c r="BQ363" s="66"/>
      <c r="BR363" s="435">
        <f t="shared" si="306"/>
        <v>7.7367554185824361E-2</v>
      </c>
      <c r="BS363" s="66"/>
      <c r="BT363" s="75"/>
      <c r="BU363" s="170"/>
      <c r="BV363" s="1"/>
      <c r="BW363" s="61">
        <f t="shared" si="189"/>
        <v>354</v>
      </c>
    </row>
    <row r="364" spans="2:75" x14ac:dyDescent="0.3">
      <c r="B364" s="158">
        <f t="shared" si="163"/>
        <v>44264</v>
      </c>
      <c r="C364" s="61"/>
      <c r="D364" s="17">
        <v>55683</v>
      </c>
      <c r="E364" s="16"/>
      <c r="F364" s="16"/>
      <c r="G364" s="16"/>
      <c r="H364" s="16">
        <f t="shared" si="308"/>
        <v>29638055</v>
      </c>
      <c r="I364" s="16"/>
      <c r="J364" s="436">
        <f t="shared" si="309"/>
        <v>1.882303420428896E-3</v>
      </c>
      <c r="K364" s="16"/>
      <c r="L364" s="16"/>
      <c r="M364" s="16"/>
      <c r="N364" s="16">
        <f t="shared" ref="N364:N383" si="327">SUM(D358:D364)</f>
        <v>406032</v>
      </c>
      <c r="O364" s="16">
        <f t="shared" si="310"/>
        <v>83487.478873239437</v>
      </c>
      <c r="P364" s="41"/>
      <c r="Q364" s="17">
        <f t="shared" si="304"/>
        <v>406032</v>
      </c>
      <c r="R364" s="16"/>
      <c r="S364" s="60">
        <f t="shared" si="305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11"/>
        <v>533105</v>
      </c>
      <c r="AB364" s="33"/>
      <c r="AC364" s="46">
        <f t="shared" si="312"/>
        <v>1.7987178983236249E-2</v>
      </c>
      <c r="AD364" s="33"/>
      <c r="AE364" s="33">
        <f t="shared" si="313"/>
        <v>1501.7042253521126</v>
      </c>
      <c r="AF364" s="50"/>
      <c r="AG364" s="33">
        <f t="shared" si="314"/>
        <v>10935</v>
      </c>
      <c r="AH364" s="33">
        <f t="shared" si="315"/>
        <v>1125969627.060914</v>
      </c>
      <c r="AI364" s="213">
        <f t="shared" si="316"/>
        <v>-0.18969988884772138</v>
      </c>
      <c r="AJ364" s="50"/>
      <c r="AK364" s="111"/>
      <c r="AL364" s="23">
        <f t="shared" si="307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7"/>
        <v>4.8754091447344482E-3</v>
      </c>
      <c r="AS364" s="25"/>
      <c r="AT364" s="25"/>
      <c r="AU364" s="24"/>
      <c r="AV364" s="298">
        <f t="shared" si="318"/>
        <v>0.69335447282218754</v>
      </c>
      <c r="AW364" s="298"/>
      <c r="AX364" s="24">
        <f t="shared" si="319"/>
        <v>57886.416901408447</v>
      </c>
      <c r="AY364" s="308"/>
      <c r="AZ364" s="111"/>
      <c r="BA364" s="65">
        <f t="shared" si="320"/>
        <v>1256221</v>
      </c>
      <c r="BB364" s="66"/>
      <c r="BC364" s="66">
        <v>371894718</v>
      </c>
      <c r="BD364" s="66"/>
      <c r="BE364" s="66">
        <f t="shared" si="321"/>
        <v>55683</v>
      </c>
      <c r="BF364" s="66"/>
      <c r="BG364" s="144">
        <f t="shared" si="322"/>
        <v>4.4325799361736508E-2</v>
      </c>
      <c r="BH364" s="66"/>
      <c r="BI364" s="170"/>
      <c r="BJ364" s="66"/>
      <c r="BK364" s="66">
        <f t="shared" si="323"/>
        <v>9945906</v>
      </c>
      <c r="BL364" s="66"/>
      <c r="BM364" s="144">
        <f t="shared" si="324"/>
        <v>4.0824033526960742E-2</v>
      </c>
      <c r="BN364" s="65">
        <f t="shared" si="325"/>
        <v>1047590.7549295775</v>
      </c>
      <c r="BO364" s="66"/>
      <c r="BP364" s="66">
        <f t="shared" si="326"/>
        <v>28731077</v>
      </c>
      <c r="BQ364" s="66"/>
      <c r="BR364" s="435">
        <f t="shared" si="306"/>
        <v>7.7255942634818497E-2</v>
      </c>
      <c r="BS364" s="66"/>
      <c r="BT364" s="75"/>
      <c r="BU364" s="170"/>
      <c r="BV364" s="1"/>
      <c r="BW364" s="61">
        <f t="shared" si="189"/>
        <v>355</v>
      </c>
    </row>
    <row r="365" spans="2:75" x14ac:dyDescent="0.3">
      <c r="B365" s="158">
        <f t="shared" si="163"/>
        <v>44265</v>
      </c>
      <c r="C365" s="61"/>
      <c r="D365" s="17">
        <v>61360</v>
      </c>
      <c r="E365" s="16"/>
      <c r="F365" s="16"/>
      <c r="G365" s="16"/>
      <c r="H365" s="16">
        <f t="shared" si="308"/>
        <v>29699415</v>
      </c>
      <c r="I365" s="16"/>
      <c r="J365" s="436">
        <f t="shared" si="309"/>
        <v>2.0703112940440929E-3</v>
      </c>
      <c r="K365" s="16"/>
      <c r="L365" s="16"/>
      <c r="M365" s="16"/>
      <c r="N365" s="16">
        <f t="shared" si="327"/>
        <v>400167</v>
      </c>
      <c r="O365" s="16">
        <f t="shared" si="310"/>
        <v>83425.323033707871</v>
      </c>
      <c r="P365" s="41"/>
      <c r="Q365" s="17">
        <f t="shared" ref="Q365:Q383" si="328">SUM(D359:D365)</f>
        <v>400167</v>
      </c>
      <c r="R365" s="16"/>
      <c r="S365" s="60">
        <f t="shared" ref="S365:S383" si="329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11"/>
        <v>534715</v>
      </c>
      <c r="AB365" s="33"/>
      <c r="AC365" s="46">
        <f t="shared" si="312"/>
        <v>1.8004226682579439E-2</v>
      </c>
      <c r="AD365" s="33"/>
      <c r="AE365" s="33">
        <f t="shared" si="313"/>
        <v>1502.0084269662921</v>
      </c>
      <c r="AF365" s="50"/>
      <c r="AG365" s="33">
        <f t="shared" si="314"/>
        <v>10204</v>
      </c>
      <c r="AH365" s="33">
        <f t="shared" si="315"/>
        <v>1125879281.060914</v>
      </c>
      <c r="AI365" s="213">
        <f t="shared" si="316"/>
        <v>-0.23341597175268575</v>
      </c>
      <c r="AJ365" s="50"/>
      <c r="AK365" s="111"/>
      <c r="AL365" s="23">
        <f t="shared" si="307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7"/>
        <v>7.8437238773279069E-3</v>
      </c>
      <c r="AS365" s="25"/>
      <c r="AT365" s="25"/>
      <c r="AU365" s="24"/>
      <c r="AV365" s="298">
        <f t="shared" si="318"/>
        <v>0.69734922388201925</v>
      </c>
      <c r="AW365" s="298"/>
      <c r="AX365" s="24">
        <f t="shared" si="319"/>
        <v>58176.584269662919</v>
      </c>
      <c r="AY365" s="308"/>
      <c r="AZ365" s="111"/>
      <c r="BA365" s="65">
        <f t="shared" si="320"/>
        <v>1211143</v>
      </c>
      <c r="BB365" s="66"/>
      <c r="BC365" s="66">
        <v>373105861</v>
      </c>
      <c r="BD365" s="66"/>
      <c r="BE365" s="66">
        <f t="shared" si="321"/>
        <v>61360</v>
      </c>
      <c r="BF365" s="66"/>
      <c r="BG365" s="144">
        <f t="shared" si="322"/>
        <v>5.0662886215748264E-2</v>
      </c>
      <c r="BH365" s="66"/>
      <c r="BI365" s="170"/>
      <c r="BJ365" s="66"/>
      <c r="BK365" s="66">
        <f t="shared" si="323"/>
        <v>9698110</v>
      </c>
      <c r="BL365" s="66"/>
      <c r="BM365" s="144">
        <f t="shared" si="324"/>
        <v>4.126236967821565E-2</v>
      </c>
      <c r="BN365" s="65">
        <f t="shared" si="325"/>
        <v>1048050.1713483146</v>
      </c>
      <c r="BO365" s="66"/>
      <c r="BP365" s="66">
        <f t="shared" si="326"/>
        <v>28792437</v>
      </c>
      <c r="BQ365" s="66"/>
      <c r="BR365" s="435">
        <f t="shared" si="306"/>
        <v>7.7169618624672309E-2</v>
      </c>
      <c r="BS365" s="66"/>
      <c r="BT365" s="75"/>
      <c r="BU365" s="170"/>
      <c r="BV365" s="1"/>
      <c r="BW365" s="61">
        <f t="shared" si="189"/>
        <v>356</v>
      </c>
    </row>
    <row r="366" spans="2:75" x14ac:dyDescent="0.3">
      <c r="B366" s="158">
        <f t="shared" si="163"/>
        <v>44266</v>
      </c>
      <c r="C366" s="61"/>
      <c r="D366" s="17">
        <v>62773</v>
      </c>
      <c r="E366" s="16"/>
      <c r="F366" s="16"/>
      <c r="G366" s="16"/>
      <c r="H366" s="16">
        <f t="shared" si="308"/>
        <v>29762188</v>
      </c>
      <c r="I366" s="16"/>
      <c r="J366" s="436">
        <f t="shared" si="309"/>
        <v>2.1136106552940522E-3</v>
      </c>
      <c r="K366" s="16"/>
      <c r="L366" s="16"/>
      <c r="M366" s="16"/>
      <c r="N366" s="16">
        <f t="shared" si="327"/>
        <v>394619</v>
      </c>
      <c r="O366" s="16">
        <f t="shared" si="310"/>
        <v>83367.473389355742</v>
      </c>
      <c r="P366" s="41"/>
      <c r="Q366" s="17">
        <f t="shared" si="328"/>
        <v>394619</v>
      </c>
      <c r="R366" s="16"/>
      <c r="S366" s="60">
        <f t="shared" si="329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11"/>
        <v>536288</v>
      </c>
      <c r="AB366" s="33"/>
      <c r="AC366" s="46">
        <f t="shared" si="312"/>
        <v>1.8019105315778532E-2</v>
      </c>
      <c r="AD366" s="33"/>
      <c r="AE366" s="33">
        <f t="shared" si="313"/>
        <v>1502.2072829131653</v>
      </c>
      <c r="AF366" s="50"/>
      <c r="AG366" s="33">
        <f t="shared" si="314"/>
        <v>9784</v>
      </c>
      <c r="AH366" s="33">
        <f t="shared" si="315"/>
        <v>1125783739.060914</v>
      </c>
      <c r="AI366" s="213">
        <f t="shared" si="316"/>
        <v>-0.24096198603568658</v>
      </c>
      <c r="AJ366" s="50"/>
      <c r="AK366" s="111"/>
      <c r="AL366" s="23">
        <f t="shared" si="307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7"/>
        <v>3.847739041693287E-3</v>
      </c>
      <c r="AS366" s="25"/>
      <c r="AT366" s="25"/>
      <c r="AU366" s="24"/>
      <c r="AV366" s="298">
        <f t="shared" si="318"/>
        <v>0.69855596638257911</v>
      </c>
      <c r="AW366" s="298"/>
      <c r="AX366" s="24">
        <f t="shared" si="319"/>
        <v>58236.845938375351</v>
      </c>
      <c r="AY366" s="308"/>
      <c r="AZ366" s="111"/>
      <c r="BA366" s="65">
        <f t="shared" si="320"/>
        <v>1365110</v>
      </c>
      <c r="BB366" s="66"/>
      <c r="BC366" s="66">
        <v>374470971</v>
      </c>
      <c r="BD366" s="66"/>
      <c r="BE366" s="66">
        <f t="shared" si="321"/>
        <v>62773</v>
      </c>
      <c r="BF366" s="66"/>
      <c r="BG366" s="144">
        <f t="shared" si="322"/>
        <v>4.5983840130099408E-2</v>
      </c>
      <c r="BH366" s="66"/>
      <c r="BI366" s="170"/>
      <c r="BJ366" s="66"/>
      <c r="BK366" s="66">
        <f t="shared" si="323"/>
        <v>9453778</v>
      </c>
      <c r="BL366" s="66"/>
      <c r="BM366" s="144">
        <f t="shared" si="324"/>
        <v>4.1741936398337259E-2</v>
      </c>
      <c r="BN366" s="65">
        <f t="shared" si="325"/>
        <v>1048938.294117647</v>
      </c>
      <c r="BO366" s="66"/>
      <c r="BP366" s="66">
        <f t="shared" si="326"/>
        <v>28855210</v>
      </c>
      <c r="BQ366" s="66"/>
      <c r="BR366" s="435">
        <f t="shared" si="306"/>
        <v>7.7055932861615592E-2</v>
      </c>
      <c r="BS366" s="66"/>
      <c r="BT366" s="75"/>
      <c r="BU366" s="170"/>
      <c r="BV366" s="1"/>
      <c r="BW366" s="61">
        <f t="shared" si="189"/>
        <v>357</v>
      </c>
    </row>
    <row r="367" spans="2:75" x14ac:dyDescent="0.3">
      <c r="B367" s="158">
        <f t="shared" si="163"/>
        <v>44267</v>
      </c>
      <c r="C367" s="61"/>
      <c r="D367" s="17">
        <v>66785</v>
      </c>
      <c r="E367" s="16"/>
      <c r="F367" s="16"/>
      <c r="G367" s="16"/>
      <c r="H367" s="16">
        <f t="shared" si="308"/>
        <v>29828973</v>
      </c>
      <c r="I367" s="16"/>
      <c r="J367" s="436">
        <f t="shared" si="309"/>
        <v>2.243954644732437E-3</v>
      </c>
      <c r="K367" s="16"/>
      <c r="L367" s="16"/>
      <c r="M367" s="16"/>
      <c r="N367" s="16">
        <f t="shared" si="327"/>
        <v>392164</v>
      </c>
      <c r="O367" s="16">
        <f t="shared" si="310"/>
        <v>83321.15363128492</v>
      </c>
      <c r="P367" s="41"/>
      <c r="Q367" s="17">
        <f t="shared" si="328"/>
        <v>392164</v>
      </c>
      <c r="R367" s="16"/>
      <c r="S367" s="60">
        <f t="shared" si="329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11"/>
        <v>537793</v>
      </c>
      <c r="AB367" s="33"/>
      <c r="AC367" s="46">
        <f t="shared" si="312"/>
        <v>1.8029216091348502E-2</v>
      </c>
      <c r="AD367" s="33"/>
      <c r="AE367" s="33">
        <f t="shared" si="313"/>
        <v>1502.2150837988827</v>
      </c>
      <c r="AF367" s="50"/>
      <c r="AG367" s="33">
        <f t="shared" si="314"/>
        <v>9453</v>
      </c>
      <c r="AH367" s="33">
        <f t="shared" si="315"/>
        <v>1125686933.060914</v>
      </c>
      <c r="AI367" s="213">
        <f t="shared" si="316"/>
        <v>-0.24254807692307692</v>
      </c>
      <c r="AJ367" s="50"/>
      <c r="AK367" s="111"/>
      <c r="AL367" s="23">
        <f t="shared" si="307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7"/>
        <v>5.9674504104123442E-2</v>
      </c>
      <c r="AS367" s="25"/>
      <c r="AT367" s="25"/>
      <c r="AU367" s="24"/>
      <c r="AV367" s="298">
        <f t="shared" si="318"/>
        <v>0.73858459692863043</v>
      </c>
      <c r="AW367" s="298"/>
      <c r="AX367" s="24">
        <f t="shared" si="319"/>
        <v>61539.720670391063</v>
      </c>
      <c r="AY367" s="308"/>
      <c r="AZ367" s="111"/>
      <c r="BA367" s="65">
        <f t="shared" si="320"/>
        <v>1665177</v>
      </c>
      <c r="BB367" s="66"/>
      <c r="BC367" s="66">
        <v>376136148</v>
      </c>
      <c r="BD367" s="66"/>
      <c r="BE367" s="66">
        <f t="shared" si="321"/>
        <v>66785</v>
      </c>
      <c r="BF367" s="66"/>
      <c r="BG367" s="144">
        <f t="shared" si="322"/>
        <v>4.0106847500295764E-2</v>
      </c>
      <c r="BH367" s="66"/>
      <c r="BI367" s="170"/>
      <c r="BJ367" s="66"/>
      <c r="BK367" s="66">
        <f t="shared" si="323"/>
        <v>9339436</v>
      </c>
      <c r="BL367" s="66"/>
      <c r="BM367" s="144">
        <f t="shared" si="324"/>
        <v>4.1990115891366461E-2</v>
      </c>
      <c r="BN367" s="65">
        <f t="shared" si="325"/>
        <v>1050659.6312849163</v>
      </c>
      <c r="BO367" s="66"/>
      <c r="BP367" s="66">
        <f t="shared" si="326"/>
        <v>28921995</v>
      </c>
      <c r="BQ367" s="66"/>
      <c r="BR367" s="435">
        <f t="shared" si="306"/>
        <v>7.6892357072790574E-2</v>
      </c>
      <c r="BS367" s="66"/>
      <c r="BT367" s="75"/>
      <c r="BU367" s="170"/>
      <c r="BV367" s="1"/>
      <c r="BW367" s="61">
        <f t="shared" si="189"/>
        <v>358</v>
      </c>
    </row>
    <row r="368" spans="2:75" x14ac:dyDescent="0.3">
      <c r="B368" s="158">
        <f t="shared" si="163"/>
        <v>44268</v>
      </c>
      <c r="C368" s="61"/>
      <c r="D368" s="17">
        <v>49718</v>
      </c>
      <c r="E368" s="16"/>
      <c r="F368" s="16"/>
      <c r="G368" s="16"/>
      <c r="H368" s="16">
        <f t="shared" si="308"/>
        <v>29878691</v>
      </c>
      <c r="I368" s="16"/>
      <c r="J368" s="436">
        <f t="shared" si="309"/>
        <v>1.6667687486257069E-3</v>
      </c>
      <c r="K368" s="16"/>
      <c r="L368" s="16"/>
      <c r="M368" s="16"/>
      <c r="N368" s="16">
        <f t="shared" si="327"/>
        <v>383654</v>
      </c>
      <c r="O368" s="16">
        <f t="shared" si="310"/>
        <v>83227.551532033423</v>
      </c>
      <c r="P368" s="41"/>
      <c r="Q368" s="17">
        <f t="shared" si="328"/>
        <v>383654</v>
      </c>
      <c r="R368" s="16"/>
      <c r="S368" s="60">
        <f t="shared" si="329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11"/>
        <v>538827</v>
      </c>
      <c r="AB368" s="33"/>
      <c r="AC368" s="46">
        <f t="shared" si="312"/>
        <v>1.8033822164431501E-2</v>
      </c>
      <c r="AD368" s="33"/>
      <c r="AE368" s="33">
        <f t="shared" si="313"/>
        <v>1500.9108635097493</v>
      </c>
      <c r="AF368" s="50"/>
      <c r="AG368" s="33">
        <f t="shared" si="314"/>
        <v>8972</v>
      </c>
      <c r="AH368" s="33">
        <f t="shared" si="315"/>
        <v>1125582689.060914</v>
      </c>
      <c r="AI368" s="213">
        <f t="shared" si="316"/>
        <v>-0.27883610642231332</v>
      </c>
      <c r="AJ368" s="50"/>
      <c r="AK368" s="111"/>
      <c r="AL368" s="23">
        <f t="shared" si="307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7"/>
        <v>3.5121069101030264E-3</v>
      </c>
      <c r="AS368" s="25"/>
      <c r="AT368" s="25"/>
      <c r="AU368" s="24"/>
      <c r="AV368" s="298">
        <f t="shared" si="318"/>
        <v>0.73994526734789012</v>
      </c>
      <c r="AW368" s="298"/>
      <c r="AX368" s="24">
        <f t="shared" si="319"/>
        <v>61583.832869080783</v>
      </c>
      <c r="AY368" s="308"/>
      <c r="AZ368" s="111"/>
      <c r="BA368" s="65">
        <f t="shared" si="320"/>
        <v>2956587</v>
      </c>
      <c r="BB368" s="66"/>
      <c r="BC368" s="66">
        <v>379092735</v>
      </c>
      <c r="BD368" s="66"/>
      <c r="BE368" s="66">
        <f t="shared" si="321"/>
        <v>49718</v>
      </c>
      <c r="BF368" s="66"/>
      <c r="BG368" s="144">
        <f t="shared" si="322"/>
        <v>1.6816011164224154E-2</v>
      </c>
      <c r="BH368" s="66"/>
      <c r="BI368" s="170"/>
      <c r="BJ368" s="66"/>
      <c r="BK368" s="66">
        <f t="shared" si="323"/>
        <v>11000462</v>
      </c>
      <c r="BL368" s="66"/>
      <c r="BM368" s="144">
        <f t="shared" si="324"/>
        <v>3.4876171564430659E-2</v>
      </c>
      <c r="BN368" s="65">
        <f t="shared" si="325"/>
        <v>1055968.6211699164</v>
      </c>
      <c r="BO368" s="66"/>
      <c r="BP368" s="66">
        <f t="shared" si="326"/>
        <v>28971713</v>
      </c>
      <c r="BQ368" s="66"/>
      <c r="BR368" s="435">
        <f t="shared" si="306"/>
        <v>7.6423814874742979E-2</v>
      </c>
      <c r="BS368" s="66"/>
      <c r="BT368" s="75"/>
      <c r="BU368" s="170"/>
      <c r="BV368" s="1"/>
      <c r="BW368" s="61">
        <f t="shared" si="189"/>
        <v>359</v>
      </c>
    </row>
    <row r="369" spans="2:75" x14ac:dyDescent="0.3">
      <c r="B369" s="347">
        <f t="shared" si="163"/>
        <v>44269</v>
      </c>
      <c r="C369" s="61"/>
      <c r="D369" s="17">
        <v>36896</v>
      </c>
      <c r="E369" s="16"/>
      <c r="F369" s="16"/>
      <c r="G369" s="16"/>
      <c r="H369" s="16">
        <f t="shared" si="308"/>
        <v>29915587</v>
      </c>
      <c r="I369" s="16"/>
      <c r="J369" s="436">
        <f t="shared" si="309"/>
        <v>1.2348599876748283E-3</v>
      </c>
      <c r="K369" s="16"/>
      <c r="L369" s="16"/>
      <c r="M369" s="16"/>
      <c r="N369" s="16">
        <f t="shared" si="327"/>
        <v>378583</v>
      </c>
      <c r="O369" s="16">
        <f t="shared" si="310"/>
        <v>83098.852777777778</v>
      </c>
      <c r="P369" s="41"/>
      <c r="Q369" s="17">
        <f t="shared" si="328"/>
        <v>378583</v>
      </c>
      <c r="R369" s="16"/>
      <c r="S369" s="60">
        <f t="shared" si="329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30">SUM(W364:W369)</f>
        <v>8055</v>
      </c>
      <c r="AA369" s="33">
        <f t="shared" si="311"/>
        <v>539456</v>
      </c>
      <c r="AB369" s="33"/>
      <c r="AC369" s="46">
        <f t="shared" si="312"/>
        <v>1.8032606212941768E-2</v>
      </c>
      <c r="AD369" s="33"/>
      <c r="AE369" s="33">
        <f t="shared" si="313"/>
        <v>1498.4888888888888</v>
      </c>
      <c r="AF369" s="50"/>
      <c r="AG369" s="33">
        <f t="shared" si="314"/>
        <v>8885</v>
      </c>
      <c r="AH369" s="33">
        <f t="shared" si="315"/>
        <v>1125482401.060914</v>
      </c>
      <c r="AI369" s="213">
        <f t="shared" si="316"/>
        <v>-0.25172646117567793</v>
      </c>
      <c r="AJ369" s="50"/>
      <c r="AK369" s="111"/>
      <c r="AL369" s="23">
        <f t="shared" si="307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7"/>
        <v>2.7428697869371715E-3</v>
      </c>
      <c r="AS369" s="25"/>
      <c r="AT369" s="25"/>
      <c r="AU369" s="24"/>
      <c r="AV369" s="298">
        <f t="shared" si="318"/>
        <v>0.74105973584940854</v>
      </c>
      <c r="AW369" s="298"/>
      <c r="AX369" s="24">
        <f t="shared" si="319"/>
        <v>61581.213888888888</v>
      </c>
      <c r="AY369" s="308"/>
      <c r="AZ369" s="111"/>
      <c r="BA369" s="65">
        <f t="shared" si="320"/>
        <v>1155639</v>
      </c>
      <c r="BB369" s="66"/>
      <c r="BC369" s="66">
        <v>380248374</v>
      </c>
      <c r="BD369" s="66"/>
      <c r="BE369" s="66">
        <f t="shared" si="321"/>
        <v>36896</v>
      </c>
      <c r="BF369" s="66"/>
      <c r="BG369" s="144">
        <f t="shared" si="322"/>
        <v>3.1926925276838179E-2</v>
      </c>
      <c r="BH369" s="66"/>
      <c r="BI369" s="170"/>
      <c r="BJ369" s="66"/>
      <c r="BK369" s="66">
        <f t="shared" si="323"/>
        <v>11038140</v>
      </c>
      <c r="BL369" s="66"/>
      <c r="BM369" s="144">
        <f t="shared" si="324"/>
        <v>3.4297716825479656E-2</v>
      </c>
      <c r="BN369" s="65">
        <f t="shared" si="325"/>
        <v>1056245.4833333334</v>
      </c>
      <c r="BO369" s="66"/>
      <c r="BP369" s="66">
        <f t="shared" si="326"/>
        <v>29008609</v>
      </c>
      <c r="BQ369" s="66"/>
      <c r="BR369" s="435">
        <f t="shared" ref="BR369:BR383" si="331">+BP369/BC369</f>
        <v>7.6288581315537729E-2</v>
      </c>
      <c r="BS369" s="66"/>
      <c r="BT369" s="75"/>
      <c r="BU369" s="170"/>
      <c r="BV369" s="1"/>
      <c r="BW369" s="61">
        <f t="shared" si="189"/>
        <v>360</v>
      </c>
    </row>
    <row r="370" spans="2:75" x14ac:dyDescent="0.3">
      <c r="B370" s="158">
        <f t="shared" si="163"/>
        <v>44270</v>
      </c>
      <c r="C370" s="61"/>
      <c r="D370" s="17">
        <v>46767</v>
      </c>
      <c r="E370" s="16"/>
      <c r="F370" s="16"/>
      <c r="G370" s="16"/>
      <c r="H370" s="16">
        <f t="shared" si="308"/>
        <v>29962354</v>
      </c>
      <c r="I370" s="16"/>
      <c r="J370" s="436">
        <f t="shared" si="309"/>
        <v>1.5632987579351193E-3</v>
      </c>
      <c r="K370" s="16"/>
      <c r="L370" s="16"/>
      <c r="M370" s="16"/>
      <c r="N370" s="16">
        <f t="shared" si="327"/>
        <v>379982</v>
      </c>
      <c r="O370" s="16">
        <f t="shared" si="310"/>
        <v>82998.210526315786</v>
      </c>
      <c r="P370" s="41"/>
      <c r="Q370" s="17">
        <f t="shared" si="328"/>
        <v>379982</v>
      </c>
      <c r="R370" s="16"/>
      <c r="S370" s="60">
        <f t="shared" si="329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30"/>
        <v>7191</v>
      </c>
      <c r="AA370" s="33">
        <f t="shared" si="311"/>
        <v>540296</v>
      </c>
      <c r="AB370" s="33"/>
      <c r="AC370" s="46">
        <f t="shared" si="312"/>
        <v>1.803249504361373E-2</v>
      </c>
      <c r="AD370" s="33"/>
      <c r="AE370" s="33">
        <f t="shared" si="313"/>
        <v>1496.6648199445983</v>
      </c>
      <c r="AF370" s="50"/>
      <c r="AG370" s="33">
        <f t="shared" si="314"/>
        <v>8895</v>
      </c>
      <c r="AH370" s="33">
        <f t="shared" si="315"/>
        <v>1125395917.060914</v>
      </c>
      <c r="AI370" s="213">
        <f t="shared" si="316"/>
        <v>-0.20721925133689839</v>
      </c>
      <c r="AJ370" s="50"/>
      <c r="AK370" s="111" t="s">
        <v>26</v>
      </c>
      <c r="AL370" s="23">
        <f t="shared" si="307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7"/>
        <v>3.6430211829121587E-3</v>
      </c>
      <c r="AS370" s="25"/>
      <c r="AT370" s="25"/>
      <c r="AU370" s="24"/>
      <c r="AV370" s="298">
        <f t="shared" si="318"/>
        <v>0.74259852880718247</v>
      </c>
      <c r="AW370" s="298"/>
      <c r="AX370" s="24">
        <f t="shared" si="319"/>
        <v>61634.349030470912</v>
      </c>
      <c r="AY370" s="308"/>
      <c r="AZ370" s="111"/>
      <c r="BA370" s="65">
        <f t="shared" si="320"/>
        <v>1251626</v>
      </c>
      <c r="BB370" s="66"/>
      <c r="BC370" s="66">
        <v>381500000</v>
      </c>
      <c r="BD370" s="66"/>
      <c r="BE370" s="66">
        <f t="shared" si="321"/>
        <v>46767</v>
      </c>
      <c r="BF370" s="66"/>
      <c r="BG370" s="144">
        <f t="shared" si="322"/>
        <v>3.7364995613705689E-2</v>
      </c>
      <c r="BH370" s="66"/>
      <c r="BI370" s="170"/>
      <c r="BJ370" s="66"/>
      <c r="BK370" s="66">
        <f t="shared" si="323"/>
        <v>10861503</v>
      </c>
      <c r="BL370" s="66"/>
      <c r="BM370" s="144">
        <f t="shared" si="324"/>
        <v>3.4984292689510837E-2</v>
      </c>
      <c r="BN370" s="65">
        <f t="shared" si="325"/>
        <v>1056786.7036011079</v>
      </c>
      <c r="BO370" s="66"/>
      <c r="BP370" s="66">
        <f t="shared" si="326"/>
        <v>29055376</v>
      </c>
      <c r="BQ370" s="66"/>
      <c r="BR370" s="435">
        <f t="shared" si="331"/>
        <v>7.6160880733944961E-2</v>
      </c>
      <c r="BS370" s="66"/>
      <c r="BT370" s="75"/>
      <c r="BU370" s="170"/>
      <c r="BV370" s="1"/>
      <c r="BW370" s="61">
        <f t="shared" si="189"/>
        <v>361</v>
      </c>
    </row>
    <row r="371" spans="2:75" x14ac:dyDescent="0.3">
      <c r="B371" s="158">
        <f t="shared" si="163"/>
        <v>44271</v>
      </c>
      <c r="C371" s="61"/>
      <c r="D371" s="17">
        <v>53231</v>
      </c>
      <c r="E371" s="16"/>
      <c r="F371" s="16"/>
      <c r="G371" s="16"/>
      <c r="H371" s="16">
        <f t="shared" si="308"/>
        <v>30015585</v>
      </c>
      <c r="I371" s="16"/>
      <c r="J371" s="436">
        <f t="shared" si="309"/>
        <v>1.7765960578397812E-3</v>
      </c>
      <c r="K371" s="16"/>
      <c r="L371" s="16"/>
      <c r="M371" s="16"/>
      <c r="N371" s="16">
        <f t="shared" si="327"/>
        <v>377530</v>
      </c>
      <c r="O371" s="16">
        <f t="shared" si="310"/>
        <v>82915.98066298342</v>
      </c>
      <c r="P371" s="41"/>
      <c r="Q371" s="17">
        <f t="shared" si="328"/>
        <v>377530</v>
      </c>
      <c r="R371" s="16"/>
      <c r="S371" s="60">
        <f t="shared" si="329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30"/>
        <v>6829</v>
      </c>
      <c r="AA371" s="33">
        <f t="shared" si="311"/>
        <v>541544</v>
      </c>
      <c r="AB371" s="33"/>
      <c r="AC371" s="46">
        <f t="shared" si="312"/>
        <v>1.8042093798938119E-2</v>
      </c>
      <c r="AD371" s="33"/>
      <c r="AE371" s="33">
        <f t="shared" si="313"/>
        <v>1495.9779005524863</v>
      </c>
      <c r="AF371" s="50"/>
      <c r="AG371" s="33">
        <f t="shared" si="314"/>
        <v>8439</v>
      </c>
      <c r="AH371" s="33">
        <f t="shared" si="315"/>
        <v>1125331620.060914</v>
      </c>
      <c r="AI371" s="213">
        <f t="shared" si="316"/>
        <v>-0.22825788751714679</v>
      </c>
      <c r="AJ371" s="50"/>
      <c r="AK371" s="111"/>
      <c r="AL371" s="23">
        <f t="shared" si="307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7"/>
        <v>4.8750112359550561E-3</v>
      </c>
      <c r="AS371" s="25"/>
      <c r="AT371" s="25"/>
      <c r="AU371" s="24"/>
      <c r="AV371" s="298">
        <f t="shared" si="318"/>
        <v>0.744895326877687</v>
      </c>
      <c r="AW371" s="298"/>
      <c r="AX371" s="24">
        <f t="shared" si="319"/>
        <v>61763.726519337019</v>
      </c>
      <c r="AY371" s="308"/>
      <c r="AZ371" s="111"/>
      <c r="BA371" s="65">
        <f t="shared" si="320"/>
        <v>1070784</v>
      </c>
      <c r="BB371" s="66"/>
      <c r="BC371" s="66">
        <v>382570784</v>
      </c>
      <c r="BD371" s="66"/>
      <c r="BE371" s="66">
        <f t="shared" si="321"/>
        <v>53231</v>
      </c>
      <c r="BF371" s="66"/>
      <c r="BG371" s="144">
        <f t="shared" si="322"/>
        <v>4.9712173510250431E-2</v>
      </c>
      <c r="BH371" s="66"/>
      <c r="BI371" s="170"/>
      <c r="BJ371" s="66"/>
      <c r="BK371" s="66">
        <f t="shared" si="323"/>
        <v>10676066</v>
      </c>
      <c r="BL371" s="66"/>
      <c r="BM371" s="144">
        <f t="shared" si="324"/>
        <v>3.5362276703797074E-2</v>
      </c>
      <c r="BN371" s="65">
        <f t="shared" si="325"/>
        <v>1056825.370165746</v>
      </c>
      <c r="BO371" s="66"/>
      <c r="BP371" s="66">
        <f t="shared" si="326"/>
        <v>29108607</v>
      </c>
      <c r="BQ371" s="66"/>
      <c r="BR371" s="435">
        <f t="shared" si="331"/>
        <v>7.6086852988753062E-2</v>
      </c>
      <c r="BS371" s="66"/>
      <c r="BT371" s="75"/>
      <c r="BU371" s="170"/>
      <c r="BV371" s="1"/>
      <c r="BW371" s="61">
        <f t="shared" si="189"/>
        <v>362</v>
      </c>
    </row>
    <row r="372" spans="2:75" x14ac:dyDescent="0.3">
      <c r="B372" s="158">
        <f t="shared" si="163"/>
        <v>44272</v>
      </c>
      <c r="C372" s="61"/>
      <c r="D372" s="17">
        <v>63495</v>
      </c>
      <c r="E372" s="16"/>
      <c r="F372" s="16"/>
      <c r="G372" s="16"/>
      <c r="H372" s="16">
        <f t="shared" si="308"/>
        <v>30079080</v>
      </c>
      <c r="I372" s="16"/>
      <c r="J372" s="436">
        <f t="shared" si="309"/>
        <v>2.1154010491549638E-3</v>
      </c>
      <c r="K372" s="16"/>
      <c r="L372" s="16"/>
      <c r="M372" s="16"/>
      <c r="N372" s="16">
        <f t="shared" si="327"/>
        <v>379665</v>
      </c>
      <c r="O372" s="16">
        <f t="shared" si="310"/>
        <v>82862.479338842968</v>
      </c>
      <c r="P372" s="41"/>
      <c r="Q372" s="17">
        <f t="shared" si="328"/>
        <v>379665</v>
      </c>
      <c r="R372" s="16"/>
      <c r="S372" s="60">
        <f t="shared" si="329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30"/>
        <v>6548</v>
      </c>
      <c r="AA372" s="33">
        <f t="shared" si="311"/>
        <v>542836</v>
      </c>
      <c r="AB372" s="33"/>
      <c r="AC372" s="46">
        <f t="shared" si="312"/>
        <v>1.8046961542706758E-2</v>
      </c>
      <c r="AD372" s="33"/>
      <c r="AE372" s="33">
        <f t="shared" si="313"/>
        <v>1495.4159779614324</v>
      </c>
      <c r="AF372" s="50"/>
      <c r="AG372" s="33">
        <f t="shared" si="314"/>
        <v>8121</v>
      </c>
      <c r="AH372" s="33">
        <f t="shared" si="315"/>
        <v>1125278835.060914</v>
      </c>
      <c r="AI372" s="213">
        <f t="shared" si="316"/>
        <v>-0.20413563308506469</v>
      </c>
      <c r="AJ372" s="50"/>
      <c r="AK372" s="111"/>
      <c r="AL372" s="23">
        <f t="shared" si="307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7"/>
        <v>3.9719177551915561E-3</v>
      </c>
      <c r="AS372" s="25"/>
      <c r="AT372" s="25"/>
      <c r="AU372" s="24"/>
      <c r="AV372" s="298">
        <f t="shared" si="318"/>
        <v>0.74627531826106386</v>
      </c>
      <c r="AW372" s="298"/>
      <c r="AX372" s="24">
        <f t="shared" si="319"/>
        <v>61838.223140495866</v>
      </c>
      <c r="AY372" s="308"/>
      <c r="AZ372" s="111"/>
      <c r="BA372" s="65">
        <f t="shared" si="320"/>
        <v>1443977</v>
      </c>
      <c r="BB372" s="66"/>
      <c r="BC372" s="66">
        <v>384014761</v>
      </c>
      <c r="BD372" s="66"/>
      <c r="BE372" s="66">
        <f t="shared" si="321"/>
        <v>63495</v>
      </c>
      <c r="BF372" s="66"/>
      <c r="BG372" s="144">
        <f t="shared" si="322"/>
        <v>4.3972307038131493E-2</v>
      </c>
      <c r="BH372" s="66"/>
      <c r="BI372" s="170"/>
      <c r="BJ372" s="66"/>
      <c r="BK372" s="66">
        <f t="shared" si="323"/>
        <v>10908900</v>
      </c>
      <c r="BL372" s="66"/>
      <c r="BM372" s="144">
        <f t="shared" si="324"/>
        <v>3.4803234056595987E-2</v>
      </c>
      <c r="BN372" s="65">
        <f t="shared" si="325"/>
        <v>1057891.9035812672</v>
      </c>
      <c r="BO372" s="66"/>
      <c r="BP372" s="66">
        <f t="shared" si="326"/>
        <v>29172102</v>
      </c>
      <c r="BQ372" s="66"/>
      <c r="BR372" s="435">
        <f t="shared" si="331"/>
        <v>7.5966095480376597E-2</v>
      </c>
      <c r="BS372" s="66"/>
      <c r="BT372" s="75"/>
      <c r="BU372" s="170"/>
      <c r="BV372" s="1"/>
      <c r="BW372" s="61">
        <f t="shared" si="189"/>
        <v>363</v>
      </c>
    </row>
    <row r="373" spans="2:75" x14ac:dyDescent="0.3">
      <c r="B373" s="158">
        <f t="shared" si="163"/>
        <v>44273</v>
      </c>
      <c r="C373" s="61"/>
      <c r="D373" s="17">
        <v>62629</v>
      </c>
      <c r="E373" s="16"/>
      <c r="F373" s="16"/>
      <c r="G373" s="16"/>
      <c r="H373" s="16">
        <f t="shared" si="308"/>
        <v>30141709</v>
      </c>
      <c r="I373" s="16"/>
      <c r="J373" s="436">
        <f t="shared" si="309"/>
        <v>2.0821447996414782E-3</v>
      </c>
      <c r="K373" s="16"/>
      <c r="L373" s="16"/>
      <c r="M373" s="16"/>
      <c r="N373" s="16">
        <f t="shared" si="327"/>
        <v>379521</v>
      </c>
      <c r="O373" s="16">
        <f t="shared" si="310"/>
        <v>82806.892857142855</v>
      </c>
      <c r="P373" s="41"/>
      <c r="Q373" s="17">
        <f t="shared" si="328"/>
        <v>379521</v>
      </c>
      <c r="R373" s="16"/>
      <c r="S373" s="60">
        <f t="shared" si="329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30"/>
        <v>6748</v>
      </c>
      <c r="AA373" s="33">
        <f t="shared" si="311"/>
        <v>544541</v>
      </c>
      <c r="AB373" s="33"/>
      <c r="AC373" s="46">
        <f t="shared" si="312"/>
        <v>1.806602936814233E-2</v>
      </c>
      <c r="AD373" s="33"/>
      <c r="AE373" s="33">
        <f t="shared" si="313"/>
        <v>1495.9917582417581</v>
      </c>
      <c r="AF373" s="50"/>
      <c r="AG373" s="33">
        <f t="shared" si="314"/>
        <v>8253</v>
      </c>
      <c r="AH373" s="33">
        <f t="shared" si="315"/>
        <v>1125215437.060914</v>
      </c>
      <c r="AI373" s="213">
        <f t="shared" si="316"/>
        <v>-0.15647996729354047</v>
      </c>
      <c r="AJ373" s="50"/>
      <c r="AK373" s="111"/>
      <c r="AL373" s="23">
        <f t="shared" si="307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7"/>
        <v>3.4090552193974549E-3</v>
      </c>
      <c r="AS373" s="25"/>
      <c r="AT373" s="25"/>
      <c r="AU373" s="24"/>
      <c r="AV373" s="298">
        <f t="shared" si="318"/>
        <v>0.74726350121686858</v>
      </c>
      <c r="AW373" s="298"/>
      <c r="AX373" s="24">
        <f t="shared" si="319"/>
        <v>61878.568681318684</v>
      </c>
      <c r="AY373" s="308"/>
      <c r="AZ373" s="111"/>
      <c r="BA373" s="65">
        <f t="shared" si="320"/>
        <v>1655680</v>
      </c>
      <c r="BB373" s="66"/>
      <c r="BC373" s="66">
        <v>385670441</v>
      </c>
      <c r="BD373" s="66"/>
      <c r="BE373" s="66">
        <f t="shared" si="321"/>
        <v>62629</v>
      </c>
      <c r="BF373" s="66"/>
      <c r="BG373" s="144">
        <f t="shared" si="322"/>
        <v>3.7826753962118286E-2</v>
      </c>
      <c r="BH373" s="66"/>
      <c r="BI373" s="170"/>
      <c r="BJ373" s="66"/>
      <c r="BK373" s="66">
        <f t="shared" si="323"/>
        <v>11199470</v>
      </c>
      <c r="BL373" s="66"/>
      <c r="BM373" s="144">
        <f t="shared" si="324"/>
        <v>3.3887407171946528E-2</v>
      </c>
      <c r="BN373" s="65">
        <f t="shared" si="325"/>
        <v>1059534.1785714286</v>
      </c>
      <c r="BO373" s="66"/>
      <c r="BP373" s="66">
        <f t="shared" si="326"/>
        <v>29234731</v>
      </c>
      <c r="BQ373" s="66"/>
      <c r="BR373" s="435">
        <f t="shared" si="331"/>
        <v>7.5802363604007703E-2</v>
      </c>
      <c r="BS373" s="66"/>
      <c r="BT373" s="75"/>
      <c r="BU373" s="170"/>
      <c r="BV373" s="1"/>
      <c r="BW373" s="61">
        <f t="shared" si="189"/>
        <v>364</v>
      </c>
    </row>
    <row r="374" spans="2:75" x14ac:dyDescent="0.3">
      <c r="B374" s="158">
        <f t="shared" si="163"/>
        <v>44274</v>
      </c>
      <c r="C374" s="61"/>
      <c r="D374" s="17">
        <v>66413</v>
      </c>
      <c r="E374" s="16"/>
      <c r="F374" s="16"/>
      <c r="G374" s="16"/>
      <c r="H374" s="16">
        <f t="shared" si="308"/>
        <v>30208122</v>
      </c>
      <c r="I374" s="16"/>
      <c r="J374" s="436">
        <f t="shared" si="309"/>
        <v>2.2033588075579921E-3</v>
      </c>
      <c r="K374" s="16"/>
      <c r="L374" s="16"/>
      <c r="M374" s="16"/>
      <c r="N374" s="16">
        <f t="shared" si="327"/>
        <v>379149</v>
      </c>
      <c r="O374" s="16">
        <f t="shared" si="310"/>
        <v>82761.978082191781</v>
      </c>
      <c r="P374" s="41"/>
      <c r="Q374" s="17">
        <f t="shared" si="328"/>
        <v>379149</v>
      </c>
      <c r="R374" s="16"/>
      <c r="S374" s="60">
        <f t="shared" si="329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30"/>
        <v>6964</v>
      </c>
      <c r="AA374" s="33">
        <f t="shared" si="311"/>
        <v>545791</v>
      </c>
      <c r="AB374" s="33"/>
      <c r="AC374" s="46">
        <f t="shared" si="312"/>
        <v>1.8067690537001937E-2</v>
      </c>
      <c r="AD374" s="33"/>
      <c r="AE374" s="33">
        <f t="shared" si="313"/>
        <v>1495.317808219178</v>
      </c>
      <c r="AF374" s="50"/>
      <c r="AG374" s="33">
        <f t="shared" si="314"/>
        <v>7998</v>
      </c>
      <c r="AH374" s="33">
        <f t="shared" si="315"/>
        <v>1125143797.060914</v>
      </c>
      <c r="AI374" s="213">
        <f t="shared" si="316"/>
        <v>-0.1539193906696287</v>
      </c>
      <c r="AJ374" s="50"/>
      <c r="AK374" s="111" t="s">
        <v>26</v>
      </c>
      <c r="AL374" s="23">
        <f t="shared" si="307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7"/>
        <v>2.9391578214669738E-3</v>
      </c>
      <c r="AS374" s="25"/>
      <c r="AT374" s="25"/>
      <c r="AU374" s="24"/>
      <c r="AV374" s="298">
        <f t="shared" si="318"/>
        <v>0.74781212814222608</v>
      </c>
      <c r="AW374" s="298"/>
      <c r="AX374" s="24">
        <f t="shared" si="319"/>
        <v>61890.410958904111</v>
      </c>
      <c r="AY374" s="308"/>
      <c r="AZ374" s="111"/>
      <c r="BA374" s="65">
        <f t="shared" si="320"/>
        <v>1179559</v>
      </c>
      <c r="BB374" s="66"/>
      <c r="BC374" s="66">
        <v>386850000</v>
      </c>
      <c r="BD374" s="66"/>
      <c r="BE374" s="66">
        <f t="shared" si="321"/>
        <v>66413</v>
      </c>
      <c r="BF374" s="66"/>
      <c r="BG374" s="144">
        <f t="shared" si="322"/>
        <v>5.6303245534983837E-2</v>
      </c>
      <c r="BH374" s="66"/>
      <c r="BI374" s="170"/>
      <c r="BJ374" s="66"/>
      <c r="BK374" s="66">
        <f t="shared" si="323"/>
        <v>10713852</v>
      </c>
      <c r="BL374" s="66"/>
      <c r="BM374" s="144">
        <f t="shared" si="324"/>
        <v>3.5388672533464158E-2</v>
      </c>
      <c r="BN374" s="65">
        <f t="shared" si="325"/>
        <v>1059863.01369863</v>
      </c>
      <c r="BO374" s="66"/>
      <c r="BP374" s="66">
        <f t="shared" si="326"/>
        <v>29301144</v>
      </c>
      <c r="BQ374" s="66"/>
      <c r="BR374" s="435">
        <f t="shared" si="331"/>
        <v>7.5742908103916248E-2</v>
      </c>
      <c r="BS374" s="66"/>
      <c r="BT374" s="75"/>
      <c r="BU374" s="170"/>
      <c r="BV374" s="1"/>
      <c r="BW374" s="61">
        <f t="shared" si="189"/>
        <v>365</v>
      </c>
    </row>
    <row r="375" spans="2:75" x14ac:dyDescent="0.3">
      <c r="B375" s="158">
        <f t="shared" si="163"/>
        <v>44275</v>
      </c>
      <c r="C375" s="61"/>
      <c r="D375" s="17">
        <v>55908</v>
      </c>
      <c r="E375" s="16"/>
      <c r="F375" s="16"/>
      <c r="G375" s="16"/>
      <c r="H375" s="16">
        <f t="shared" si="308"/>
        <v>30264030</v>
      </c>
      <c r="I375" s="16"/>
      <c r="J375" s="436">
        <f t="shared" si="309"/>
        <v>1.8507605338723141E-3</v>
      </c>
      <c r="K375" s="16"/>
      <c r="L375" s="16"/>
      <c r="M375" s="16"/>
      <c r="N375" s="16">
        <f t="shared" si="327"/>
        <v>385339</v>
      </c>
      <c r="O375" s="16">
        <f t="shared" si="310"/>
        <v>82688.606557377047</v>
      </c>
      <c r="P375" s="41"/>
      <c r="Q375" s="17">
        <f t="shared" si="328"/>
        <v>385339</v>
      </c>
      <c r="R375" s="16"/>
      <c r="S375" s="60">
        <f t="shared" si="329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30"/>
        <v>7127</v>
      </c>
      <c r="AA375" s="33">
        <f t="shared" si="311"/>
        <v>546583</v>
      </c>
      <c r="AB375" s="33"/>
      <c r="AC375" s="46">
        <f t="shared" si="312"/>
        <v>1.8060483022254471E-2</v>
      </c>
      <c r="AD375" s="33"/>
      <c r="AE375" s="33">
        <f t="shared" si="313"/>
        <v>1493.3961748633881</v>
      </c>
      <c r="AF375" s="50"/>
      <c r="AG375" s="33">
        <f t="shared" si="314"/>
        <v>7756</v>
      </c>
      <c r="AH375" s="33">
        <f t="shared" si="315"/>
        <v>1125074873.060914</v>
      </c>
      <c r="AI375" s="213">
        <f t="shared" si="316"/>
        <v>-0.13553276861346411</v>
      </c>
      <c r="AJ375" s="50"/>
      <c r="AK375" s="111"/>
      <c r="AL375" s="23">
        <f t="shared" si="307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7"/>
        <v>4.1441788401947767E-3</v>
      </c>
      <c r="AS375" s="25"/>
      <c r="AT375" s="25"/>
      <c r="AU375" s="24"/>
      <c r="AV375" s="298">
        <f t="shared" si="318"/>
        <v>0.74952400589082158</v>
      </c>
      <c r="AW375" s="298"/>
      <c r="AX375" s="24">
        <f t="shared" si="319"/>
        <v>61977.0956284153</v>
      </c>
      <c r="AY375" s="308"/>
      <c r="AZ375" s="111"/>
      <c r="BA375" s="65">
        <f t="shared" si="320"/>
        <v>1849199</v>
      </c>
      <c r="BB375" s="66"/>
      <c r="BC375" s="66">
        <v>388699199</v>
      </c>
      <c r="BD375" s="66"/>
      <c r="BE375" s="66">
        <f t="shared" si="321"/>
        <v>55908</v>
      </c>
      <c r="BF375" s="66"/>
      <c r="BG375" s="144">
        <f t="shared" si="322"/>
        <v>3.0233630885588843E-2</v>
      </c>
      <c r="BH375" s="66"/>
      <c r="BI375" s="170"/>
      <c r="BJ375" s="66"/>
      <c r="BK375" s="66">
        <f t="shared" si="323"/>
        <v>9606464</v>
      </c>
      <c r="BL375" s="66"/>
      <c r="BM375" s="144">
        <f t="shared" si="324"/>
        <v>4.0112470103463665E-2</v>
      </c>
      <c r="BN375" s="65">
        <f t="shared" si="325"/>
        <v>1062019.6693989071</v>
      </c>
      <c r="BO375" s="66"/>
      <c r="BP375" s="66">
        <f t="shared" si="326"/>
        <v>29357052</v>
      </c>
      <c r="BQ375" s="66"/>
      <c r="BR375" s="435">
        <f t="shared" si="331"/>
        <v>7.5526402100972681E-2</v>
      </c>
      <c r="BS375" s="66"/>
      <c r="BT375" s="75"/>
      <c r="BU375" s="170"/>
      <c r="BV375" s="1"/>
      <c r="BW375" s="61">
        <f t="shared" si="189"/>
        <v>366</v>
      </c>
    </row>
    <row r="376" spans="2:75" x14ac:dyDescent="0.3">
      <c r="B376" s="347">
        <f t="shared" si="163"/>
        <v>44276</v>
      </c>
      <c r="C376" s="61"/>
      <c r="D376" s="17">
        <v>39505</v>
      </c>
      <c r="E376" s="16"/>
      <c r="F376" s="16"/>
      <c r="G376" s="16"/>
      <c r="H376" s="16">
        <f t="shared" si="308"/>
        <v>30303535</v>
      </c>
      <c r="I376" s="16"/>
      <c r="J376" s="436">
        <f t="shared" si="309"/>
        <v>1.3053449920582289E-3</v>
      </c>
      <c r="K376" s="16"/>
      <c r="L376" s="16"/>
      <c r="M376" s="16"/>
      <c r="N376" s="16">
        <f t="shared" si="327"/>
        <v>387948</v>
      </c>
      <c r="O376" s="16">
        <f t="shared" si="310"/>
        <v>82570.940054495906</v>
      </c>
      <c r="P376" s="41"/>
      <c r="Q376" s="17">
        <f t="shared" si="328"/>
        <v>387948</v>
      </c>
      <c r="R376" s="16"/>
      <c r="S376" s="60">
        <f t="shared" si="329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30"/>
        <v>6742</v>
      </c>
      <c r="AA376" s="33">
        <f t="shared" si="311"/>
        <v>547038</v>
      </c>
      <c r="AB376" s="33"/>
      <c r="AC376" s="46">
        <f t="shared" si="312"/>
        <v>1.8051953344717042E-2</v>
      </c>
      <c r="AD376" s="33"/>
      <c r="AE376" s="33">
        <f t="shared" si="313"/>
        <v>1490.5667574931881</v>
      </c>
      <c r="AF376" s="50"/>
      <c r="AG376" s="33">
        <f t="shared" si="314"/>
        <v>7582</v>
      </c>
      <c r="AH376" s="33">
        <f t="shared" si="315"/>
        <v>1124989334.060914</v>
      </c>
      <c r="AI376" s="213">
        <f t="shared" si="316"/>
        <v>-0.14665166010129432</v>
      </c>
      <c r="AJ376" s="50"/>
      <c r="AK376" s="111"/>
      <c r="AL376" s="23">
        <f t="shared" si="307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7"/>
        <v>3.1139213821146775E-3</v>
      </c>
      <c r="AS376" s="25"/>
      <c r="AT376" s="25"/>
      <c r="AU376" s="24"/>
      <c r="AV376" s="298">
        <f t="shared" si="318"/>
        <v>0.75087781013007227</v>
      </c>
      <c r="AW376" s="298"/>
      <c r="AX376" s="24">
        <f t="shared" si="319"/>
        <v>62000.68664850136</v>
      </c>
      <c r="AY376" s="308"/>
      <c r="AZ376" s="111"/>
      <c r="BA376" s="65">
        <f t="shared" si="320"/>
        <v>1086915</v>
      </c>
      <c r="BB376" s="66"/>
      <c r="BC376" s="66">
        <v>389786114</v>
      </c>
      <c r="BD376" s="66"/>
      <c r="BE376" s="66">
        <f t="shared" si="321"/>
        <v>39505</v>
      </c>
      <c r="BF376" s="66"/>
      <c r="BG376" s="144">
        <f t="shared" si="322"/>
        <v>3.634598841675752E-2</v>
      </c>
      <c r="BH376" s="66"/>
      <c r="BI376" s="170"/>
      <c r="BJ376" s="66"/>
      <c r="BK376" s="66">
        <f t="shared" si="323"/>
        <v>9537740</v>
      </c>
      <c r="BL376" s="66"/>
      <c r="BM376" s="144">
        <f t="shared" si="324"/>
        <v>4.0675044612245671E-2</v>
      </c>
      <c r="BN376" s="65">
        <f t="shared" si="325"/>
        <v>1062087.5040871934</v>
      </c>
      <c r="BO376" s="66"/>
      <c r="BP376" s="66">
        <f t="shared" si="326"/>
        <v>29396557</v>
      </c>
      <c r="BQ376" s="66"/>
      <c r="BR376" s="435">
        <f t="shared" si="331"/>
        <v>7.5417147877156032E-2</v>
      </c>
      <c r="BS376" s="66"/>
      <c r="BT376" s="75"/>
      <c r="BU376" s="170"/>
      <c r="BV376" s="1"/>
      <c r="BW376" s="61">
        <f t="shared" si="189"/>
        <v>367</v>
      </c>
    </row>
    <row r="377" spans="2:75" x14ac:dyDescent="0.3">
      <c r="B377" s="158">
        <f t="shared" si="163"/>
        <v>44277</v>
      </c>
      <c r="C377" s="61"/>
      <c r="D377" s="17">
        <v>45748</v>
      </c>
      <c r="E377" s="16"/>
      <c r="F377" s="16"/>
      <c r="G377" s="16"/>
      <c r="H377" s="16">
        <f t="shared" si="308"/>
        <v>30349283</v>
      </c>
      <c r="I377" s="16"/>
      <c r="J377" s="436">
        <f t="shared" si="309"/>
        <v>1.5096588566317428E-3</v>
      </c>
      <c r="K377" s="16"/>
      <c r="L377" s="16"/>
      <c r="M377" s="16"/>
      <c r="N377" s="16">
        <f t="shared" si="327"/>
        <v>386929</v>
      </c>
      <c r="O377" s="16">
        <f t="shared" si="310"/>
        <v>82470.877717391311</v>
      </c>
      <c r="P377" s="41"/>
      <c r="Q377" s="17">
        <f t="shared" si="328"/>
        <v>386929</v>
      </c>
      <c r="R377" s="16"/>
      <c r="S377" s="60">
        <f t="shared" si="329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30"/>
        <v>6130</v>
      </c>
      <c r="AA377" s="33">
        <f t="shared" si="311"/>
        <v>547674</v>
      </c>
      <c r="AB377" s="33"/>
      <c r="AC377" s="46">
        <f t="shared" si="312"/>
        <v>1.8045698147135799E-2</v>
      </c>
      <c r="AD377" s="33"/>
      <c r="AE377" s="33">
        <f t="shared" si="313"/>
        <v>1488.2445652173913</v>
      </c>
      <c r="AF377" s="50"/>
      <c r="AG377" s="33">
        <f t="shared" si="314"/>
        <v>7378</v>
      </c>
      <c r="AH377" s="33">
        <f t="shared" si="315"/>
        <v>1124919717.060914</v>
      </c>
      <c r="AI377" s="213">
        <f t="shared" si="316"/>
        <v>-0.17054525014052838</v>
      </c>
      <c r="AJ377" s="50"/>
      <c r="AK377" s="111"/>
      <c r="AL377" s="23">
        <f t="shared" si="307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7"/>
        <v>4.0322573556801607E-3</v>
      </c>
      <c r="AS377" s="25"/>
      <c r="AT377" s="25"/>
      <c r="AU377" s="24"/>
      <c r="AV377" s="298">
        <f t="shared" si="318"/>
        <v>0.75276911813699188</v>
      </c>
      <c r="AW377" s="298"/>
      <c r="AX377" s="24">
        <f t="shared" si="319"/>
        <v>62081.529891304344</v>
      </c>
      <c r="AY377" s="308"/>
      <c r="AZ377" s="111"/>
      <c r="BA377" s="65">
        <f t="shared" si="320"/>
        <v>1326385</v>
      </c>
      <c r="BB377" s="66"/>
      <c r="BC377" s="66">
        <v>391112499</v>
      </c>
      <c r="BD377" s="66"/>
      <c r="BE377" s="66">
        <f t="shared" si="321"/>
        <v>45748</v>
      </c>
      <c r="BF377" s="66"/>
      <c r="BG377" s="144">
        <f t="shared" si="322"/>
        <v>3.4490739868137832E-2</v>
      </c>
      <c r="BH377" s="66"/>
      <c r="BI377" s="170"/>
      <c r="BJ377" s="66"/>
      <c r="BK377" s="66">
        <f t="shared" si="323"/>
        <v>9612499</v>
      </c>
      <c r="BL377" s="66"/>
      <c r="BM377" s="144">
        <f t="shared" si="324"/>
        <v>4.0252695995078906E-2</v>
      </c>
      <c r="BN377" s="65">
        <f t="shared" si="325"/>
        <v>1062805.7038043479</v>
      </c>
      <c r="BO377" s="66"/>
      <c r="BP377" s="66">
        <f t="shared" si="326"/>
        <v>29442305</v>
      </c>
      <c r="BQ377" s="66"/>
      <c r="BR377" s="435">
        <f t="shared" si="331"/>
        <v>7.5278353607410531E-2</v>
      </c>
      <c r="BS377" s="66"/>
      <c r="BT377" s="75"/>
      <c r="BU377" s="170"/>
      <c r="BV377" s="1"/>
      <c r="BW377" s="61">
        <f t="shared" si="189"/>
        <v>368</v>
      </c>
    </row>
    <row r="378" spans="2:75" x14ac:dyDescent="0.3">
      <c r="B378" s="158">
        <f t="shared" si="163"/>
        <v>44278</v>
      </c>
      <c r="C378" s="61"/>
      <c r="D378" s="17">
        <v>58705</v>
      </c>
      <c r="E378" s="16"/>
      <c r="F378" s="16"/>
      <c r="G378" s="16"/>
      <c r="H378" s="16">
        <f t="shared" si="308"/>
        <v>30407988</v>
      </c>
      <c r="I378" s="16"/>
      <c r="J378" s="436">
        <f t="shared" si="309"/>
        <v>1.9343125832659703E-3</v>
      </c>
      <c r="K378" s="16"/>
      <c r="L378" s="16"/>
      <c r="M378" s="16"/>
      <c r="N378" s="16">
        <f t="shared" si="327"/>
        <v>392403</v>
      </c>
      <c r="O378" s="16">
        <f t="shared" si="310"/>
        <v>82406.471544715445</v>
      </c>
      <c r="P378" s="41"/>
      <c r="Q378" s="17">
        <f t="shared" si="328"/>
        <v>392403</v>
      </c>
      <c r="R378" s="16"/>
      <c r="S378" s="60">
        <f t="shared" si="329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30"/>
        <v>5774</v>
      </c>
      <c r="AA378" s="33">
        <f t="shared" si="311"/>
        <v>548610</v>
      </c>
      <c r="AB378" s="33"/>
      <c r="AC378" s="46">
        <f t="shared" si="312"/>
        <v>1.8041640900410775E-2</v>
      </c>
      <c r="AD378" s="33"/>
      <c r="AE378" s="33">
        <f t="shared" si="313"/>
        <v>1486.7479674796748</v>
      </c>
      <c r="AF378" s="50"/>
      <c r="AG378" s="33">
        <f t="shared" si="314"/>
        <v>7066</v>
      </c>
      <c r="AH378" s="33">
        <f t="shared" si="315"/>
        <v>1124862492.060914</v>
      </c>
      <c r="AI378" s="213">
        <f t="shared" si="316"/>
        <v>-0.16269700201445669</v>
      </c>
      <c r="AJ378" s="50"/>
      <c r="AK378" s="111"/>
      <c r="AL378" s="23">
        <f t="shared" si="307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7"/>
        <v>3.4619184808826297E-3</v>
      </c>
      <c r="AS378" s="25"/>
      <c r="AT378" s="25"/>
      <c r="AU378" s="24"/>
      <c r="AV378" s="298">
        <f t="shared" si="318"/>
        <v>0.75391683264279108</v>
      </c>
      <c r="AW378" s="298"/>
      <c r="AX378" s="24">
        <f t="shared" si="319"/>
        <v>62127.626016260161</v>
      </c>
      <c r="AY378" s="308"/>
      <c r="AZ378" s="111"/>
      <c r="BA378" s="65">
        <f t="shared" si="320"/>
        <v>1052670</v>
      </c>
      <c r="BB378" s="66"/>
      <c r="BC378" s="66">
        <v>392165169</v>
      </c>
      <c r="BD378" s="66"/>
      <c r="BE378" s="66">
        <f t="shared" si="321"/>
        <v>58705</v>
      </c>
      <c r="BF378" s="66"/>
      <c r="BG378" s="144">
        <f t="shared" si="322"/>
        <v>5.5767714478421535E-2</v>
      </c>
      <c r="BH378" s="66"/>
      <c r="BI378" s="170"/>
      <c r="BJ378" s="66"/>
      <c r="BK378" s="66">
        <f t="shared" si="323"/>
        <v>9594385</v>
      </c>
      <c r="BL378" s="66"/>
      <c r="BM378" s="144">
        <f t="shared" si="324"/>
        <v>4.0899234291723756E-2</v>
      </c>
      <c r="BN378" s="65">
        <f t="shared" si="325"/>
        <v>1062778.2357723578</v>
      </c>
      <c r="BO378" s="66"/>
      <c r="BP378" s="66">
        <f t="shared" si="326"/>
        <v>29501010</v>
      </c>
      <c r="BQ378" s="66"/>
      <c r="BR378" s="435">
        <f t="shared" si="331"/>
        <v>7.5225982142233541E-2</v>
      </c>
      <c r="BS378" s="66"/>
      <c r="BT378" s="75"/>
      <c r="BU378" s="170"/>
      <c r="BV378" s="1"/>
      <c r="BW378" s="61">
        <f t="shared" si="189"/>
        <v>369</v>
      </c>
    </row>
    <row r="379" spans="2:75" x14ac:dyDescent="0.3">
      <c r="B379" s="158">
        <f t="shared" si="163"/>
        <v>44279</v>
      </c>
      <c r="C379" s="61"/>
      <c r="D379" s="17">
        <v>66538</v>
      </c>
      <c r="E379" s="16"/>
      <c r="F379" s="16"/>
      <c r="G379" s="16"/>
      <c r="H379" s="16">
        <f t="shared" si="308"/>
        <v>30474526</v>
      </c>
      <c r="I379" s="16"/>
      <c r="J379" s="436">
        <f t="shared" si="309"/>
        <v>2.1881750282195587E-3</v>
      </c>
      <c r="K379" s="16"/>
      <c r="L379" s="16"/>
      <c r="M379" s="16"/>
      <c r="N379" s="16">
        <f t="shared" si="327"/>
        <v>395446</v>
      </c>
      <c r="O379" s="16">
        <f t="shared" si="310"/>
        <v>82363.58378378379</v>
      </c>
      <c r="P379" s="41"/>
      <c r="Q379" s="17">
        <f t="shared" si="328"/>
        <v>395446</v>
      </c>
      <c r="R379" s="16"/>
      <c r="S379" s="60">
        <f t="shared" si="329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30"/>
        <v>5474</v>
      </c>
      <c r="AA379" s="33">
        <f t="shared" si="311"/>
        <v>550015</v>
      </c>
      <c r="AB379" s="33"/>
      <c r="AC379" s="46">
        <f t="shared" si="312"/>
        <v>1.8048352909574378E-2</v>
      </c>
      <c r="AD379" s="33"/>
      <c r="AE379" s="33">
        <f t="shared" si="313"/>
        <v>1486.5270270270271</v>
      </c>
      <c r="AF379" s="50"/>
      <c r="AG379" s="33">
        <f t="shared" si="314"/>
        <v>7179</v>
      </c>
      <c r="AH379" s="33">
        <f t="shared" si="315"/>
        <v>1124791438.060914</v>
      </c>
      <c r="AI379" s="213">
        <f t="shared" si="316"/>
        <v>-0.11599556704839306</v>
      </c>
      <c r="AJ379" s="50"/>
      <c r="AK379" s="111"/>
      <c r="AL379" s="23">
        <f t="shared" si="307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7"/>
        <v>9.0636487684630646E-3</v>
      </c>
      <c r="AS379" s="25"/>
      <c r="AT379" s="25"/>
      <c r="AU379" s="24"/>
      <c r="AV379" s="298">
        <f t="shared" si="318"/>
        <v>0.7590890503104134</v>
      </c>
      <c r="AW379" s="298"/>
      <c r="AX379" s="24">
        <f t="shared" si="319"/>
        <v>62521.294594594598</v>
      </c>
      <c r="AY379" s="308"/>
      <c r="AZ379" s="111"/>
      <c r="BA379" s="65">
        <f t="shared" si="320"/>
        <v>1698379</v>
      </c>
      <c r="BB379" s="66"/>
      <c r="BC379" s="66">
        <v>393863548</v>
      </c>
      <c r="BD379" s="66"/>
      <c r="BE379" s="66">
        <f t="shared" si="321"/>
        <v>66538</v>
      </c>
      <c r="BF379" s="66"/>
      <c r="BG379" s="144">
        <f t="shared" si="322"/>
        <v>3.9177356761947717E-2</v>
      </c>
      <c r="BH379" s="66"/>
      <c r="BI379" s="170"/>
      <c r="BJ379" s="66"/>
      <c r="BK379" s="66">
        <f t="shared" si="323"/>
        <v>9848787</v>
      </c>
      <c r="BL379" s="66"/>
      <c r="BM379" s="144">
        <f t="shared" si="324"/>
        <v>4.0151746605952589E-2</v>
      </c>
      <c r="BN379" s="65">
        <f t="shared" si="325"/>
        <v>1064496.0756756756</v>
      </c>
      <c r="BO379" s="66"/>
      <c r="BP379" s="66">
        <f t="shared" si="326"/>
        <v>29567548</v>
      </c>
      <c r="BQ379" s="66"/>
      <c r="BR379" s="435">
        <f t="shared" si="331"/>
        <v>7.5070536865219126E-2</v>
      </c>
      <c r="BS379" s="66"/>
      <c r="BT379" s="75"/>
      <c r="BU379" s="170"/>
      <c r="BV379" s="1"/>
      <c r="BW379" s="61">
        <f t="shared" si="189"/>
        <v>370</v>
      </c>
    </row>
    <row r="380" spans="2:75" x14ac:dyDescent="0.3">
      <c r="B380" s="158">
        <f t="shared" si="163"/>
        <v>44280</v>
      </c>
      <c r="C380" s="61"/>
      <c r="D380" s="17">
        <v>67046</v>
      </c>
      <c r="E380" s="16"/>
      <c r="F380" s="16"/>
      <c r="G380" s="16"/>
      <c r="H380" s="16">
        <f t="shared" si="308"/>
        <v>30541572</v>
      </c>
      <c r="I380" s="16"/>
      <c r="J380" s="436">
        <f t="shared" si="309"/>
        <v>2.2000670330360513E-3</v>
      </c>
      <c r="K380" s="16"/>
      <c r="L380" s="16"/>
      <c r="M380" s="16"/>
      <c r="N380" s="16">
        <f t="shared" si="327"/>
        <v>399863</v>
      </c>
      <c r="O380" s="16">
        <f t="shared" si="310"/>
        <v>82322.296495956878</v>
      </c>
      <c r="P380" s="41"/>
      <c r="Q380" s="17">
        <f t="shared" si="328"/>
        <v>399863</v>
      </c>
      <c r="R380" s="16"/>
      <c r="S380" s="60">
        <f t="shared" si="329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30"/>
        <v>5389</v>
      </c>
      <c r="AA380" s="33">
        <f t="shared" si="311"/>
        <v>551180</v>
      </c>
      <c r="AB380" s="33"/>
      <c r="AC380" s="46">
        <f t="shared" si="312"/>
        <v>1.8046877220334302E-2</v>
      </c>
      <c r="AD380" s="33"/>
      <c r="AE380" s="33">
        <f t="shared" si="313"/>
        <v>1485.6603773584907</v>
      </c>
      <c r="AF380" s="50"/>
      <c r="AG380" s="33">
        <f t="shared" si="314"/>
        <v>6639</v>
      </c>
      <c r="AH380" s="33">
        <f t="shared" si="315"/>
        <v>1124717734.060914</v>
      </c>
      <c r="AI380" s="213">
        <f t="shared" si="316"/>
        <v>-0.19556524900036351</v>
      </c>
      <c r="AJ380" s="50"/>
      <c r="AK380" s="111"/>
      <c r="AL380" s="23">
        <f t="shared" si="307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7"/>
        <v>2.7376618362115672E-3</v>
      </c>
      <c r="AS380" s="25"/>
      <c r="AT380" s="25"/>
      <c r="AU380" s="24"/>
      <c r="AV380" s="298">
        <f t="shared" si="318"/>
        <v>0.75949623680143252</v>
      </c>
      <c r="AW380" s="298"/>
      <c r="AX380" s="24">
        <f t="shared" si="319"/>
        <v>62523.474393530996</v>
      </c>
      <c r="AY380" s="308"/>
      <c r="AZ380" s="111"/>
      <c r="BA380" s="65">
        <f t="shared" si="320"/>
        <v>1489752</v>
      </c>
      <c r="BB380" s="66"/>
      <c r="BC380" s="66">
        <v>395353300</v>
      </c>
      <c r="BD380" s="66"/>
      <c r="BE380" s="66">
        <f t="shared" si="321"/>
        <v>67046</v>
      </c>
      <c r="BF380" s="66"/>
      <c r="BG380" s="144">
        <f t="shared" si="322"/>
        <v>4.5004806169080494E-2</v>
      </c>
      <c r="BH380" s="66"/>
      <c r="BI380" s="170"/>
      <c r="BJ380" s="66"/>
      <c r="BK380" s="66">
        <f t="shared" si="323"/>
        <v>9682859</v>
      </c>
      <c r="BL380" s="66"/>
      <c r="BM380" s="144">
        <f t="shared" si="324"/>
        <v>4.1295964342762816E-2</v>
      </c>
      <c r="BN380" s="65">
        <f t="shared" si="325"/>
        <v>1065642.3180592991</v>
      </c>
      <c r="BO380" s="66"/>
      <c r="BP380" s="66">
        <f t="shared" si="326"/>
        <v>29634594</v>
      </c>
      <c r="BQ380" s="66"/>
      <c r="BR380" s="435">
        <f t="shared" si="331"/>
        <v>7.4957244570868636E-2</v>
      </c>
      <c r="BS380" s="66"/>
      <c r="BT380" s="75"/>
      <c r="BU380" s="170"/>
      <c r="BV380" s="1"/>
      <c r="BW380" s="61">
        <f t="shared" si="189"/>
        <v>371</v>
      </c>
    </row>
    <row r="381" spans="2:75" x14ac:dyDescent="0.3">
      <c r="B381" s="158">
        <f t="shared" si="163"/>
        <v>44281</v>
      </c>
      <c r="C381" s="61"/>
      <c r="D381" s="17">
        <v>76976</v>
      </c>
      <c r="E381" s="16"/>
      <c r="F381" s="16"/>
      <c r="G381" s="16"/>
      <c r="H381" s="16">
        <f t="shared" si="308"/>
        <v>30618548</v>
      </c>
      <c r="I381" s="16"/>
      <c r="J381" s="436">
        <f t="shared" si="309"/>
        <v>2.5203679758199742E-3</v>
      </c>
      <c r="K381" s="16"/>
      <c r="L381" s="16"/>
      <c r="M381" s="16"/>
      <c r="N381" s="16">
        <f t="shared" si="327"/>
        <v>410426</v>
      </c>
      <c r="O381" s="16">
        <f t="shared" si="310"/>
        <v>82307.924731182793</v>
      </c>
      <c r="P381" s="41"/>
      <c r="Q381" s="17">
        <f t="shared" si="328"/>
        <v>410426</v>
      </c>
      <c r="R381" s="16"/>
      <c r="S381" s="60">
        <f t="shared" si="329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30"/>
        <v>5886</v>
      </c>
      <c r="AA381" s="33">
        <f t="shared" si="311"/>
        <v>552469</v>
      </c>
      <c r="AB381" s="33"/>
      <c r="AC381" s="46">
        <f t="shared" si="312"/>
        <v>1.804360546424344E-2</v>
      </c>
      <c r="AD381" s="33"/>
      <c r="AE381" s="33">
        <f t="shared" si="313"/>
        <v>1485.1317204301076</v>
      </c>
      <c r="AF381" s="50"/>
      <c r="AG381" s="33">
        <f t="shared" si="314"/>
        <v>6678</v>
      </c>
      <c r="AH381" s="33">
        <f t="shared" si="315"/>
        <v>1124642435.060914</v>
      </c>
      <c r="AI381" s="213">
        <f t="shared" si="316"/>
        <v>-0.16504126031507876</v>
      </c>
      <c r="AJ381" s="50"/>
      <c r="AK381" s="111"/>
      <c r="AL381" s="23">
        <f t="shared" si="307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7"/>
        <v>3.4082724465881471E-3</v>
      </c>
      <c r="AS381" s="25"/>
      <c r="AT381" s="25"/>
      <c r="AU381" s="24"/>
      <c r="AV381" s="298">
        <f t="shared" si="318"/>
        <v>0.76016890154294714</v>
      </c>
      <c r="AW381" s="298"/>
      <c r="AX381" s="24">
        <f t="shared" si="319"/>
        <v>62567.924731182793</v>
      </c>
      <c r="AY381" s="308"/>
      <c r="AZ381" s="111"/>
      <c r="BA381" s="65">
        <f t="shared" si="320"/>
        <v>1540866</v>
      </c>
      <c r="BB381" s="66"/>
      <c r="BC381" s="66">
        <v>396894166</v>
      </c>
      <c r="BD381" s="66"/>
      <c r="BE381" s="66">
        <f t="shared" si="321"/>
        <v>76976</v>
      </c>
      <c r="BF381" s="66"/>
      <c r="BG381" s="144">
        <f t="shared" si="322"/>
        <v>4.9956323262373238E-2</v>
      </c>
      <c r="BH381" s="66"/>
      <c r="BI381" s="170"/>
      <c r="BJ381" s="66"/>
      <c r="BK381" s="66">
        <f t="shared" si="323"/>
        <v>10044166</v>
      </c>
      <c r="BL381" s="66"/>
      <c r="BM381" s="144">
        <f t="shared" si="324"/>
        <v>4.0862128324044025E-2</v>
      </c>
      <c r="BN381" s="65">
        <f t="shared" si="325"/>
        <v>1066919.8010752688</v>
      </c>
      <c r="BO381" s="66"/>
      <c r="BP381" s="66">
        <f t="shared" si="326"/>
        <v>29711570</v>
      </c>
      <c r="BQ381" s="66"/>
      <c r="BR381" s="435">
        <f t="shared" si="331"/>
        <v>7.4860183256006838E-2</v>
      </c>
      <c r="BS381" s="66"/>
      <c r="BT381" s="75"/>
      <c r="BU381" s="170"/>
      <c r="BV381" s="1"/>
      <c r="BW381" s="61">
        <f t="shared" si="189"/>
        <v>372</v>
      </c>
    </row>
    <row r="382" spans="2:75" x14ac:dyDescent="0.3">
      <c r="B382" s="158">
        <f t="shared" si="163"/>
        <v>44282</v>
      </c>
      <c r="C382" s="61"/>
      <c r="D382" s="17">
        <v>63659</v>
      </c>
      <c r="E382" s="16"/>
      <c r="F382" s="16"/>
      <c r="G382" s="16"/>
      <c r="H382" s="16">
        <f t="shared" si="308"/>
        <v>30682207</v>
      </c>
      <c r="I382" s="16"/>
      <c r="J382" s="436">
        <f t="shared" si="309"/>
        <v>2.0790992440268561E-3</v>
      </c>
      <c r="K382" s="16"/>
      <c r="L382" s="16"/>
      <c r="M382" s="16"/>
      <c r="N382" s="16">
        <f t="shared" si="327"/>
        <v>418177</v>
      </c>
      <c r="O382" s="16">
        <f t="shared" si="310"/>
        <v>82257.927613941021</v>
      </c>
      <c r="P382" s="41"/>
      <c r="Q382" s="17">
        <f t="shared" si="328"/>
        <v>418177</v>
      </c>
      <c r="R382" s="16"/>
      <c r="S382" s="60">
        <f t="shared" si="329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30"/>
        <v>6219</v>
      </c>
      <c r="AA382" s="33">
        <f t="shared" si="311"/>
        <v>553257</v>
      </c>
      <c r="AB382" s="33"/>
      <c r="AC382" s="46">
        <f t="shared" si="312"/>
        <v>1.8031851489692382E-2</v>
      </c>
      <c r="AD382" s="33"/>
      <c r="AE382" s="33">
        <f t="shared" si="313"/>
        <v>1483.2627345844503</v>
      </c>
      <c r="AF382" s="50"/>
      <c r="AG382" s="33">
        <f t="shared" si="314"/>
        <v>6674</v>
      </c>
      <c r="AH382" s="33">
        <f t="shared" si="315"/>
        <v>1124565058.060914</v>
      </c>
      <c r="AI382" s="213">
        <f t="shared" si="316"/>
        <v>-0.13950489943269725</v>
      </c>
      <c r="AJ382" s="50"/>
      <c r="AK382" s="111"/>
      <c r="AL382" s="23">
        <f t="shared" si="307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7"/>
        <v>3.1467736483206123E-3</v>
      </c>
      <c r="AS382" s="25"/>
      <c r="AT382" s="25"/>
      <c r="AU382" s="24"/>
      <c r="AV382" s="298">
        <f t="shared" si="318"/>
        <v>0.76097883049938353</v>
      </c>
      <c r="AW382" s="298"/>
      <c r="AX382" s="24">
        <f t="shared" si="319"/>
        <v>62596.541554959782</v>
      </c>
      <c r="AY382" s="308"/>
      <c r="AZ382" s="111"/>
      <c r="BA382" s="65">
        <f t="shared" si="320"/>
        <v>1387550</v>
      </c>
      <c r="BB382" s="66"/>
      <c r="BC382" s="66">
        <v>398281716</v>
      </c>
      <c r="BD382" s="66"/>
      <c r="BE382" s="66">
        <f t="shared" si="321"/>
        <v>63659</v>
      </c>
      <c r="BF382" s="66"/>
      <c r="BG382" s="144">
        <f t="shared" si="322"/>
        <v>4.587870707361897E-2</v>
      </c>
      <c r="BH382" s="66"/>
      <c r="BI382" s="170"/>
      <c r="BJ382" s="66"/>
      <c r="BK382" s="66">
        <f t="shared" si="323"/>
        <v>9582517</v>
      </c>
      <c r="BL382" s="66"/>
      <c r="BM382" s="144">
        <f t="shared" si="324"/>
        <v>4.36395782026789E-2</v>
      </c>
      <c r="BN382" s="65">
        <f t="shared" si="325"/>
        <v>1067779.399463807</v>
      </c>
      <c r="BO382" s="66"/>
      <c r="BP382" s="66">
        <f t="shared" si="326"/>
        <v>29775229</v>
      </c>
      <c r="BQ382" s="66"/>
      <c r="BR382" s="435">
        <f t="shared" si="331"/>
        <v>7.4759216413539803E-2</v>
      </c>
      <c r="BS382" s="66"/>
      <c r="BT382" s="75"/>
      <c r="BU382" s="170"/>
      <c r="BV382" s="1"/>
      <c r="BW382" s="61">
        <f t="shared" si="189"/>
        <v>373</v>
      </c>
    </row>
    <row r="383" spans="2:75" x14ac:dyDescent="0.3">
      <c r="B383" s="347">
        <f t="shared" si="163"/>
        <v>44283</v>
      </c>
      <c r="C383" s="61"/>
      <c r="D383" s="17">
        <v>44096</v>
      </c>
      <c r="E383" s="16"/>
      <c r="F383" s="16"/>
      <c r="G383" s="16"/>
      <c r="H383" s="16">
        <f t="shared" si="308"/>
        <v>30726303</v>
      </c>
      <c r="I383" s="16"/>
      <c r="J383" s="436">
        <f t="shared" si="309"/>
        <v>1.4371847501061445E-3</v>
      </c>
      <c r="K383" s="16"/>
      <c r="L383" s="16"/>
      <c r="M383" s="16"/>
      <c r="N383" s="16">
        <f t="shared" si="327"/>
        <v>422768</v>
      </c>
      <c r="O383" s="16">
        <f t="shared" si="310"/>
        <v>82155.890374331546</v>
      </c>
      <c r="P383" s="41"/>
      <c r="Q383" s="17">
        <f t="shared" si="328"/>
        <v>422768</v>
      </c>
      <c r="R383" s="16"/>
      <c r="S383" s="60">
        <f t="shared" si="329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30"/>
        <v>6093</v>
      </c>
      <c r="AA383" s="33">
        <f t="shared" si="311"/>
        <v>553767</v>
      </c>
      <c r="AB383" s="33"/>
      <c r="AC383" s="46">
        <f t="shared" si="312"/>
        <v>1.8022571736013928E-2</v>
      </c>
      <c r="AD383" s="33"/>
      <c r="AE383" s="33">
        <f t="shared" si="313"/>
        <v>1480.6604278074867</v>
      </c>
      <c r="AF383" s="50"/>
      <c r="AG383" s="33">
        <f t="shared" si="314"/>
        <v>6729</v>
      </c>
      <c r="AH383" s="33">
        <f t="shared" si="315"/>
        <v>1124484433.060914</v>
      </c>
      <c r="AI383" s="213">
        <f t="shared" si="316"/>
        <v>-0.11250329728303878</v>
      </c>
      <c r="AJ383" s="50"/>
      <c r="AK383" s="111"/>
      <c r="AL383" s="23">
        <f t="shared" si="307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7"/>
        <v>2.6714338516676227E-3</v>
      </c>
      <c r="AS383" s="25"/>
      <c r="AT383" s="25"/>
      <c r="AU383" s="24"/>
      <c r="AV383" s="298">
        <f t="shared" si="318"/>
        <v>0.76191672001672317</v>
      </c>
      <c r="AW383" s="298"/>
      <c r="AX383" s="24">
        <f t="shared" si="319"/>
        <v>62595.946524064173</v>
      </c>
      <c r="AY383" s="308"/>
      <c r="AZ383" s="111"/>
      <c r="BA383" s="65">
        <f t="shared" si="320"/>
        <v>1060302</v>
      </c>
      <c r="BB383" s="66"/>
      <c r="BC383" s="66">
        <v>399342018</v>
      </c>
      <c r="BD383" s="66"/>
      <c r="BE383" s="66">
        <f t="shared" si="321"/>
        <v>44096</v>
      </c>
      <c r="BF383" s="66"/>
      <c r="BG383" s="144">
        <f t="shared" si="322"/>
        <v>4.1588151300289915E-2</v>
      </c>
      <c r="BH383" s="66"/>
      <c r="BI383" s="170"/>
      <c r="BJ383" s="66"/>
      <c r="BK383" s="66">
        <f t="shared" si="323"/>
        <v>9555904</v>
      </c>
      <c r="BL383" s="66"/>
      <c r="BM383" s="144">
        <f t="shared" si="324"/>
        <v>4.4241549517450157E-2</v>
      </c>
      <c r="BN383" s="65">
        <f t="shared" si="325"/>
        <v>1067759.4064171123</v>
      </c>
      <c r="BO383" s="66"/>
      <c r="BP383" s="66">
        <f t="shared" si="326"/>
        <v>29819325</v>
      </c>
      <c r="BQ383" s="66"/>
      <c r="BR383" s="435">
        <f t="shared" si="331"/>
        <v>7.4671143170313717E-2</v>
      </c>
      <c r="BS383" s="66"/>
      <c r="BT383" s="75"/>
      <c r="BU383" s="170"/>
      <c r="BV383" s="1"/>
      <c r="BW383" s="61">
        <f t="shared" si="189"/>
        <v>374</v>
      </c>
    </row>
    <row r="384" spans="2:75" x14ac:dyDescent="0.3">
      <c r="B384" s="158">
        <f t="shared" si="163"/>
        <v>44284</v>
      </c>
      <c r="C384" s="61"/>
      <c r="D384" s="17">
        <v>60198</v>
      </c>
      <c r="E384" s="16"/>
      <c r="F384" s="16"/>
      <c r="G384" s="16"/>
      <c r="H384" s="16">
        <f t="shared" ref="H384:H418" si="332">+H383+D384</f>
        <v>30786501</v>
      </c>
      <c r="I384" s="16"/>
      <c r="J384" s="436">
        <f t="shared" ref="J384:J418" si="333">+D384/H383</f>
        <v>1.9591683386055263E-3</v>
      </c>
      <c r="K384" s="16"/>
      <c r="L384" s="16"/>
      <c r="M384" s="16"/>
      <c r="N384" s="16">
        <f t="shared" ref="N384:N418" si="334">SUM(D378:D384)</f>
        <v>437218</v>
      </c>
      <c r="O384" s="16">
        <f t="shared" ref="O384:O418" si="335">+H384/BW384</f>
        <v>82097.335999999996</v>
      </c>
      <c r="P384" s="41"/>
      <c r="Q384" s="17">
        <f t="shared" ref="Q384:Q418" si="336">SUM(D378:D384)</f>
        <v>437218</v>
      </c>
      <c r="R384" s="16"/>
      <c r="S384" s="60">
        <f t="shared" ref="S384:S418" si="337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8">SUM(W379:W384)</f>
        <v>5818</v>
      </c>
      <c r="AA384" s="33">
        <f t="shared" ref="AA384:AA418" si="339">+AA383+W384</f>
        <v>554428</v>
      </c>
      <c r="AB384" s="33"/>
      <c r="AC384" s="46">
        <f t="shared" ref="AC384:AC418" si="340">+AA384/H384</f>
        <v>1.8008801974605689E-2</v>
      </c>
      <c r="AD384" s="33"/>
      <c r="AE384" s="33">
        <f t="shared" ref="AE384:AE418" si="341">+AA384/BW384</f>
        <v>1478.4746666666667</v>
      </c>
      <c r="AF384" s="50"/>
      <c r="AG384" s="33">
        <f t="shared" ref="AG384:AG418" si="342">SUM(W378:W384)</f>
        <v>6754</v>
      </c>
      <c r="AH384" s="33">
        <f t="shared" si="315"/>
        <v>1124420113.060914</v>
      </c>
      <c r="AI384" s="213">
        <f t="shared" ref="AI384:AI418" si="343">+(AG384-AG377)/AG377</f>
        <v>-8.4575765790187038E-2</v>
      </c>
      <c r="AJ384" s="50"/>
      <c r="AK384" s="111"/>
      <c r="AL384" s="23">
        <f t="shared" ref="AL384:AL418" si="344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45">+AL384/AP383</f>
        <v>4.2096658972809401E-3</v>
      </c>
      <c r="AS384" s="25"/>
      <c r="AT384" s="25"/>
      <c r="AU384" s="24"/>
      <c r="AV384" s="298">
        <f t="shared" ref="AV384:AV418" si="346">+AP384/H384</f>
        <v>0.76362805893401142</v>
      </c>
      <c r="AW384" s="298"/>
      <c r="AX384" s="24">
        <f t="shared" ref="AX384:AX418" si="347">+AP384/BW384</f>
        <v>62691.829333333335</v>
      </c>
      <c r="AY384" s="308"/>
      <c r="AZ384" s="111"/>
      <c r="BA384" s="65">
        <f t="shared" ref="BA384:BA418" si="348">+BC384-BC383</f>
        <v>1535224</v>
      </c>
      <c r="BB384" s="66"/>
      <c r="BC384" s="66">
        <v>400877242</v>
      </c>
      <c r="BD384" s="66"/>
      <c r="BE384" s="66">
        <f t="shared" ref="BE384:BE418" si="349">+D384</f>
        <v>60198</v>
      </c>
      <c r="BF384" s="66"/>
      <c r="BG384" s="144">
        <f t="shared" ref="BG384:BG418" si="350">+BE384/BA384</f>
        <v>3.9211216083125326E-2</v>
      </c>
      <c r="BH384" s="66"/>
      <c r="BI384" s="170"/>
      <c r="BJ384" s="66"/>
      <c r="BK384" s="66">
        <f t="shared" ref="BK384:BK418" si="351">SUM(BA378:BA384)</f>
        <v>9764743</v>
      </c>
      <c r="BL384" s="66"/>
      <c r="BM384" s="144">
        <f t="shared" ref="BM384:BM418" si="352">+Q384/BK384</f>
        <v>4.4775167149816435E-2</v>
      </c>
      <c r="BN384" s="65">
        <f t="shared" ref="BN384:BN418" si="353">+BC384/BW384</f>
        <v>1069005.9786666667</v>
      </c>
      <c r="BO384" s="66"/>
      <c r="BP384" s="66">
        <f t="shared" ref="BP384:BP418" si="354">+BP383+BE384</f>
        <v>29879523</v>
      </c>
      <c r="BQ384" s="66"/>
      <c r="BR384" s="435">
        <f t="shared" ref="BR384:BR418" si="355">+BP384/BC384</f>
        <v>7.4535343665131287E-2</v>
      </c>
      <c r="BS384" s="66"/>
      <c r="BT384" s="75"/>
      <c r="BU384" s="170"/>
      <c r="BV384" s="1"/>
      <c r="BW384" s="61">
        <f t="shared" si="189"/>
        <v>375</v>
      </c>
    </row>
    <row r="385" spans="2:75" x14ac:dyDescent="0.3">
      <c r="B385" s="158">
        <f t="shared" si="163"/>
        <v>44285</v>
      </c>
      <c r="C385" s="61"/>
      <c r="D385" s="17">
        <v>62459</v>
      </c>
      <c r="E385" s="16"/>
      <c r="F385" s="16"/>
      <c r="G385" s="16"/>
      <c r="H385" s="16">
        <f t="shared" si="332"/>
        <v>30848960</v>
      </c>
      <c r="I385" s="16"/>
      <c r="J385" s="436">
        <f t="shared" si="333"/>
        <v>2.028778781973307E-3</v>
      </c>
      <c r="K385" s="16"/>
      <c r="L385" s="16"/>
      <c r="M385" s="16"/>
      <c r="N385" s="16">
        <f t="shared" si="334"/>
        <v>440972</v>
      </c>
      <c r="O385" s="16">
        <f t="shared" si="335"/>
        <v>82045.106382978716</v>
      </c>
      <c r="P385" s="41"/>
      <c r="Q385" s="17">
        <f t="shared" si="336"/>
        <v>440972</v>
      </c>
      <c r="R385" s="16"/>
      <c r="S385" s="60">
        <f t="shared" si="337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8"/>
        <v>5286</v>
      </c>
      <c r="AA385" s="33">
        <f t="shared" si="339"/>
        <v>555301</v>
      </c>
      <c r="AB385" s="33"/>
      <c r="AC385" s="46">
        <f t="shared" si="340"/>
        <v>1.8000639243592003E-2</v>
      </c>
      <c r="AD385" s="33"/>
      <c r="AE385" s="33">
        <f t="shared" si="341"/>
        <v>1476.8643617021276</v>
      </c>
      <c r="AF385" s="50"/>
      <c r="AG385" s="33">
        <f t="shared" si="342"/>
        <v>6691</v>
      </c>
      <c r="AH385" s="33">
        <f t="shared" si="315"/>
        <v>1124370701.060914</v>
      </c>
      <c r="AI385" s="213">
        <f t="shared" si="343"/>
        <v>-5.3071044438154545E-2</v>
      </c>
      <c r="AJ385" s="50"/>
      <c r="AK385" s="111"/>
      <c r="AL385" s="23">
        <f t="shared" si="344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45"/>
        <v>3.2905936152615484E-3</v>
      </c>
      <c r="AS385" s="25"/>
      <c r="AT385" s="25"/>
      <c r="AU385" s="24"/>
      <c r="AV385" s="298">
        <f t="shared" si="346"/>
        <v>0.76458966525937988</v>
      </c>
      <c r="AW385" s="298"/>
      <c r="AX385" s="24">
        <f t="shared" si="347"/>
        <v>62730.840425531918</v>
      </c>
      <c r="AY385" s="308"/>
      <c r="AZ385" s="111"/>
      <c r="BA385" s="65">
        <f t="shared" si="348"/>
        <v>1180075</v>
      </c>
      <c r="BB385" s="66"/>
      <c r="BC385" s="66">
        <v>402057317</v>
      </c>
      <c r="BD385" s="66"/>
      <c r="BE385" s="66">
        <f t="shared" si="349"/>
        <v>62459</v>
      </c>
      <c r="BF385" s="66"/>
      <c r="BG385" s="144">
        <f t="shared" si="350"/>
        <v>5.2927991864923842E-2</v>
      </c>
      <c r="BH385" s="66"/>
      <c r="BI385" s="170"/>
      <c r="BJ385" s="66"/>
      <c r="BK385" s="66">
        <f t="shared" si="351"/>
        <v>9892148</v>
      </c>
      <c r="BL385" s="66"/>
      <c r="BM385" s="144">
        <f t="shared" si="352"/>
        <v>4.4577982456388644E-2</v>
      </c>
      <c r="BN385" s="65">
        <f t="shared" si="353"/>
        <v>1069301.375</v>
      </c>
      <c r="BO385" s="66"/>
      <c r="BP385" s="66">
        <f t="shared" si="354"/>
        <v>29941982</v>
      </c>
      <c r="BQ385" s="66"/>
      <c r="BR385" s="435">
        <f t="shared" si="355"/>
        <v>7.4471924111257998E-2</v>
      </c>
      <c r="BS385" s="66"/>
      <c r="BT385" s="75"/>
      <c r="BU385" s="170"/>
      <c r="BV385" s="1"/>
      <c r="BW385" s="61">
        <f t="shared" si="189"/>
        <v>376</v>
      </c>
    </row>
    <row r="386" spans="2:75" x14ac:dyDescent="0.3">
      <c r="B386" s="158">
        <f t="shared" si="163"/>
        <v>44286</v>
      </c>
      <c r="C386" s="61"/>
      <c r="D386" s="17">
        <v>68756</v>
      </c>
      <c r="E386" s="16"/>
      <c r="F386" s="16"/>
      <c r="G386" s="16"/>
      <c r="H386" s="16">
        <f t="shared" si="332"/>
        <v>30917716</v>
      </c>
      <c r="I386" s="16"/>
      <c r="J386" s="436">
        <f t="shared" si="333"/>
        <v>2.2287947470514403E-3</v>
      </c>
      <c r="K386" s="16"/>
      <c r="L386" s="16"/>
      <c r="M386" s="16"/>
      <c r="N386" s="16">
        <f t="shared" si="334"/>
        <v>443190</v>
      </c>
      <c r="O386" s="16">
        <f t="shared" si="335"/>
        <v>82009.856763925723</v>
      </c>
      <c r="P386" s="41"/>
      <c r="Q386" s="17">
        <f t="shared" si="336"/>
        <v>443190</v>
      </c>
      <c r="R386" s="16"/>
      <c r="S386" s="60">
        <f t="shared" si="337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8"/>
        <v>5236</v>
      </c>
      <c r="AA386" s="33">
        <f t="shared" si="339"/>
        <v>556416</v>
      </c>
      <c r="AB386" s="33"/>
      <c r="AC386" s="46">
        <f t="shared" si="340"/>
        <v>1.7996672199201261E-2</v>
      </c>
      <c r="AD386" s="33"/>
      <c r="AE386" s="33">
        <f t="shared" si="341"/>
        <v>1475.9045092838196</v>
      </c>
      <c r="AF386" s="50"/>
      <c r="AG386" s="33">
        <f t="shared" si="342"/>
        <v>6401</v>
      </c>
      <c r="AH386" s="33">
        <f t="shared" si="315"/>
        <v>1124315520.060914</v>
      </c>
      <c r="AI386" s="213">
        <f t="shared" si="343"/>
        <v>-0.1083716395041092</v>
      </c>
      <c r="AJ386" s="50"/>
      <c r="AK386" s="111"/>
      <c r="AL386" s="23">
        <f t="shared" si="344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45"/>
        <v>3.6743438998666882E-3</v>
      </c>
      <c r="AS386" s="25"/>
      <c r="AT386" s="25"/>
      <c r="AU386" s="24"/>
      <c r="AV386" s="298">
        <f t="shared" si="346"/>
        <v>0.76569245930068053</v>
      </c>
      <c r="AW386" s="298"/>
      <c r="AX386" s="24">
        <f t="shared" si="347"/>
        <v>62794.328912466844</v>
      </c>
      <c r="AY386" s="308"/>
      <c r="AZ386" s="111"/>
      <c r="BA386" s="65">
        <f t="shared" si="348"/>
        <v>1269567</v>
      </c>
      <c r="BB386" s="66"/>
      <c r="BC386" s="66">
        <v>403326884</v>
      </c>
      <c r="BD386" s="66"/>
      <c r="BE386" s="66">
        <f t="shared" si="349"/>
        <v>68756</v>
      </c>
      <c r="BF386" s="66"/>
      <c r="BG386" s="144">
        <f t="shared" si="350"/>
        <v>5.4157047245241882E-2</v>
      </c>
      <c r="BH386" s="66"/>
      <c r="BI386" s="170"/>
      <c r="BJ386" s="66"/>
      <c r="BK386" s="66">
        <f t="shared" si="351"/>
        <v>9463336</v>
      </c>
      <c r="BL386" s="66"/>
      <c r="BM386" s="144">
        <f t="shared" si="352"/>
        <v>4.6832322132491125E-2</v>
      </c>
      <c r="BN386" s="65">
        <f t="shared" si="353"/>
        <v>1069832.5835543766</v>
      </c>
      <c r="BO386" s="66"/>
      <c r="BP386" s="66">
        <f t="shared" si="354"/>
        <v>30010738</v>
      </c>
      <c r="BQ386" s="66"/>
      <c r="BR386" s="435">
        <f t="shared" si="355"/>
        <v>7.4407978219473217E-2</v>
      </c>
      <c r="BS386" s="66"/>
      <c r="BT386" s="75"/>
      <c r="BU386" s="170"/>
      <c r="BV386" s="1"/>
      <c r="BW386" s="61">
        <f t="shared" si="189"/>
        <v>377</v>
      </c>
    </row>
    <row r="387" spans="2:75" x14ac:dyDescent="0.3">
      <c r="B387" s="158">
        <f t="shared" si="163"/>
        <v>44287</v>
      </c>
      <c r="C387" s="61"/>
      <c r="D387" s="17">
        <v>44251</v>
      </c>
      <c r="E387" s="16"/>
      <c r="F387" s="16"/>
      <c r="G387" s="16"/>
      <c r="H387" s="16">
        <f t="shared" si="332"/>
        <v>30961967</v>
      </c>
      <c r="I387" s="16"/>
      <c r="J387" s="436">
        <f t="shared" si="333"/>
        <v>1.4312506137258004E-3</v>
      </c>
      <c r="K387" s="16"/>
      <c r="L387" s="16"/>
      <c r="M387" s="16"/>
      <c r="N387" s="16">
        <f t="shared" si="334"/>
        <v>420395</v>
      </c>
      <c r="O387" s="16">
        <f t="shared" si="335"/>
        <v>81909.965608465602</v>
      </c>
      <c r="P387" s="41"/>
      <c r="Q387" s="17">
        <f t="shared" si="336"/>
        <v>420395</v>
      </c>
      <c r="R387" s="16"/>
      <c r="S387" s="60">
        <f t="shared" si="337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8"/>
        <v>4915</v>
      </c>
      <c r="AA387" s="33">
        <f t="shared" si="339"/>
        <v>557384</v>
      </c>
      <c r="AB387" s="33"/>
      <c r="AC387" s="46">
        <f t="shared" si="340"/>
        <v>1.8002215427721371E-2</v>
      </c>
      <c r="AD387" s="33"/>
      <c r="AE387" s="33">
        <f t="shared" si="341"/>
        <v>1474.5608465608466</v>
      </c>
      <c r="AF387" s="50"/>
      <c r="AG387" s="33">
        <f t="shared" si="342"/>
        <v>6204</v>
      </c>
      <c r="AH387" s="33">
        <f t="shared" si="315"/>
        <v>1124258630.060914</v>
      </c>
      <c r="AI387" s="213">
        <f t="shared" si="343"/>
        <v>-6.5521915951197468E-2</v>
      </c>
      <c r="AJ387" s="50"/>
      <c r="AK387" s="111" t="s">
        <v>26</v>
      </c>
      <c r="AL387" s="23">
        <f t="shared" si="344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45"/>
        <v>3.6554856235222377E-3</v>
      </c>
      <c r="AS387" s="25"/>
      <c r="AT387" s="25"/>
      <c r="AU387" s="24"/>
      <c r="AV387" s="298">
        <f t="shared" si="346"/>
        <v>0.76739310522487159</v>
      </c>
      <c r="AW387" s="298"/>
      <c r="AX387" s="24">
        <f t="shared" si="347"/>
        <v>62857.142857142855</v>
      </c>
      <c r="AY387" s="308"/>
      <c r="AZ387" s="111"/>
      <c r="BA387" s="65">
        <f t="shared" si="348"/>
        <v>2573116</v>
      </c>
      <c r="BB387" s="66"/>
      <c r="BC387" s="66">
        <v>405900000</v>
      </c>
      <c r="BD387" s="66"/>
      <c r="BE387" s="66">
        <f t="shared" si="349"/>
        <v>44251</v>
      </c>
      <c r="BF387" s="66"/>
      <c r="BG387" s="144">
        <f t="shared" si="350"/>
        <v>1.7197436881975007E-2</v>
      </c>
      <c r="BH387" s="66"/>
      <c r="BI387" s="170"/>
      <c r="BJ387" s="66"/>
      <c r="BK387" s="66">
        <f t="shared" si="351"/>
        <v>10546700</v>
      </c>
      <c r="BL387" s="66"/>
      <c r="BM387" s="144">
        <f t="shared" si="352"/>
        <v>3.9860335460380973E-2</v>
      </c>
      <c r="BN387" s="65">
        <f t="shared" si="353"/>
        <v>1073809.5238095238</v>
      </c>
      <c r="BO387" s="66"/>
      <c r="BP387" s="66">
        <f t="shared" si="354"/>
        <v>30054989</v>
      </c>
      <c r="BQ387" s="66"/>
      <c r="BR387" s="435">
        <f t="shared" si="355"/>
        <v>7.4045304262133529E-2</v>
      </c>
      <c r="BS387" s="66"/>
      <c r="BT387" s="75"/>
      <c r="BU387" s="170"/>
      <c r="BV387" s="1"/>
      <c r="BW387" s="61">
        <f t="shared" si="189"/>
        <v>378</v>
      </c>
    </row>
    <row r="388" spans="2:75" x14ac:dyDescent="0.3">
      <c r="B388" s="158">
        <f t="shared" si="163"/>
        <v>44288</v>
      </c>
      <c r="C388" s="61"/>
      <c r="D388" s="17">
        <v>70024</v>
      </c>
      <c r="E388" s="16"/>
      <c r="F388" s="16"/>
      <c r="G388" s="16"/>
      <c r="H388" s="16">
        <f t="shared" si="332"/>
        <v>31031991</v>
      </c>
      <c r="I388" s="16"/>
      <c r="J388" s="436">
        <f t="shared" si="333"/>
        <v>2.26161341751963E-3</v>
      </c>
      <c r="K388" s="16"/>
      <c r="L388" s="16"/>
      <c r="M388" s="16"/>
      <c r="N388" s="16">
        <f t="shared" si="334"/>
        <v>413443</v>
      </c>
      <c r="O388" s="16">
        <f t="shared" si="335"/>
        <v>81878.604221635891</v>
      </c>
      <c r="P388" s="41"/>
      <c r="Q388" s="17">
        <f t="shared" si="336"/>
        <v>413443</v>
      </c>
      <c r="R388" s="16"/>
      <c r="S388" s="60">
        <f t="shared" si="337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8"/>
        <v>5128</v>
      </c>
      <c r="AA388" s="33">
        <f t="shared" si="339"/>
        <v>558385</v>
      </c>
      <c r="AB388" s="33"/>
      <c r="AC388" s="46">
        <f t="shared" si="340"/>
        <v>1.799385028179468E-2</v>
      </c>
      <c r="AD388" s="33"/>
      <c r="AE388" s="33">
        <f t="shared" si="341"/>
        <v>1473.311345646438</v>
      </c>
      <c r="AF388" s="50"/>
      <c r="AG388" s="33">
        <f t="shared" si="342"/>
        <v>5916</v>
      </c>
      <c r="AH388" s="33">
        <f t="shared" si="315"/>
        <v>1124191405.060914</v>
      </c>
      <c r="AI388" s="213">
        <f t="shared" si="343"/>
        <v>-0.11410601976639713</v>
      </c>
      <c r="AJ388" s="50"/>
      <c r="AK388" s="111"/>
      <c r="AL388" s="23">
        <f t="shared" si="344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45"/>
        <v>2.7734006734006734E-3</v>
      </c>
      <c r="AS388" s="25"/>
      <c r="AT388" s="25"/>
      <c r="AU388" s="24"/>
      <c r="AV388" s="298">
        <f t="shared" si="346"/>
        <v>0.7677849610100751</v>
      </c>
      <c r="AW388" s="298"/>
      <c r="AX388" s="24">
        <f t="shared" si="347"/>
        <v>62865.160949868077</v>
      </c>
      <c r="AY388" s="308"/>
      <c r="AZ388" s="111"/>
      <c r="BA388" s="65">
        <f t="shared" si="348"/>
        <v>776337</v>
      </c>
      <c r="BB388" s="66"/>
      <c r="BC388" s="66">
        <v>406676337</v>
      </c>
      <c r="BD388" s="66"/>
      <c r="BE388" s="66">
        <f t="shared" si="349"/>
        <v>70024</v>
      </c>
      <c r="BF388" s="66"/>
      <c r="BG388" s="144">
        <f t="shared" si="350"/>
        <v>9.019794238842152E-2</v>
      </c>
      <c r="BH388" s="66"/>
      <c r="BI388" s="170"/>
      <c r="BJ388" s="66"/>
      <c r="BK388" s="66">
        <f t="shared" si="351"/>
        <v>9782171</v>
      </c>
      <c r="BL388" s="66"/>
      <c r="BM388" s="144">
        <f t="shared" si="352"/>
        <v>4.2264953250152754E-2</v>
      </c>
      <c r="BN388" s="65">
        <f t="shared" si="353"/>
        <v>1073024.635883905</v>
      </c>
      <c r="BO388" s="66"/>
      <c r="BP388" s="66">
        <f t="shared" si="354"/>
        <v>30125013</v>
      </c>
      <c r="BQ388" s="66"/>
      <c r="BR388" s="435">
        <f t="shared" si="355"/>
        <v>7.4076139325509854E-2</v>
      </c>
      <c r="BS388" s="66"/>
      <c r="BT388" s="75"/>
      <c r="BU388" s="170"/>
      <c r="BV388" s="1"/>
      <c r="BW388" s="61">
        <f t="shared" si="189"/>
        <v>379</v>
      </c>
    </row>
    <row r="389" spans="2:75" x14ac:dyDescent="0.3">
      <c r="B389" s="158">
        <f t="shared" si="163"/>
        <v>44289</v>
      </c>
      <c r="C389" s="61"/>
      <c r="D389" s="17">
        <v>66154</v>
      </c>
      <c r="E389" s="16"/>
      <c r="F389" s="16"/>
      <c r="G389" s="16"/>
      <c r="H389" s="16">
        <f t="shared" si="332"/>
        <v>31098145</v>
      </c>
      <c r="I389" s="16"/>
      <c r="J389" s="436">
        <f t="shared" si="333"/>
        <v>2.131800051114993E-3</v>
      </c>
      <c r="K389" s="16"/>
      <c r="L389" s="16"/>
      <c r="M389" s="16"/>
      <c r="N389" s="16">
        <f t="shared" si="334"/>
        <v>415938</v>
      </c>
      <c r="O389" s="16">
        <f t="shared" si="335"/>
        <v>81837.223684210519</v>
      </c>
      <c r="P389" s="41"/>
      <c r="Q389" s="17">
        <f t="shared" si="336"/>
        <v>415938</v>
      </c>
      <c r="R389" s="16"/>
      <c r="S389" s="60">
        <f t="shared" si="337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8"/>
        <v>5425</v>
      </c>
      <c r="AA389" s="33">
        <f t="shared" si="339"/>
        <v>559192</v>
      </c>
      <c r="AB389" s="33"/>
      <c r="AC389" s="46">
        <f t="shared" si="340"/>
        <v>1.7981522692109127E-2</v>
      </c>
      <c r="AD389" s="33"/>
      <c r="AE389" s="33">
        <f t="shared" si="341"/>
        <v>1471.5578947368422</v>
      </c>
      <c r="AF389" s="50"/>
      <c r="AG389" s="33">
        <f t="shared" si="342"/>
        <v>5935</v>
      </c>
      <c r="AH389" s="33">
        <f t="shared" si="315"/>
        <v>1124123084.060914</v>
      </c>
      <c r="AI389" s="213">
        <f t="shared" si="343"/>
        <v>-0.11072819898112077</v>
      </c>
      <c r="AJ389" s="50"/>
      <c r="AK389" s="111"/>
      <c r="AL389" s="23">
        <f t="shared" si="344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45"/>
        <v>2.8849282310306401E-3</v>
      </c>
      <c r="AS389" s="25"/>
      <c r="AT389" s="25"/>
      <c r="AU389" s="24"/>
      <c r="AV389" s="298">
        <f t="shared" si="346"/>
        <v>0.76836197142948559</v>
      </c>
      <c r="AW389" s="298"/>
      <c r="AX389" s="24">
        <f t="shared" si="347"/>
        <v>62880.610526315788</v>
      </c>
      <c r="AY389" s="308"/>
      <c r="AZ389" s="111"/>
      <c r="BA389" s="65">
        <f t="shared" si="348"/>
        <v>1581551</v>
      </c>
      <c r="BB389" s="66"/>
      <c r="BC389" s="66">
        <v>408257888</v>
      </c>
      <c r="BD389" s="66"/>
      <c r="BE389" s="66">
        <f t="shared" si="349"/>
        <v>66154</v>
      </c>
      <c r="BF389" s="66"/>
      <c r="BG389" s="144">
        <f t="shared" si="350"/>
        <v>4.1828559433113442E-2</v>
      </c>
      <c r="BH389" s="66"/>
      <c r="BI389" s="170"/>
      <c r="BJ389" s="66"/>
      <c r="BK389" s="66">
        <f t="shared" si="351"/>
        <v>9976172</v>
      </c>
      <c r="BL389" s="66"/>
      <c r="BM389" s="144">
        <f t="shared" si="352"/>
        <v>4.1693146429311767E-2</v>
      </c>
      <c r="BN389" s="65">
        <f t="shared" si="353"/>
        <v>1074362.8631578947</v>
      </c>
      <c r="BO389" s="66"/>
      <c r="BP389" s="66">
        <f t="shared" si="354"/>
        <v>30191167</v>
      </c>
      <c r="BQ389" s="66"/>
      <c r="BR389" s="435">
        <f t="shared" si="355"/>
        <v>7.3951215365127249E-2</v>
      </c>
      <c r="BS389" s="66"/>
      <c r="BT389" s="75"/>
      <c r="BU389" s="170"/>
      <c r="BV389" s="1"/>
      <c r="BW389" s="61">
        <f t="shared" si="189"/>
        <v>380</v>
      </c>
    </row>
    <row r="390" spans="2:75" x14ac:dyDescent="0.3">
      <c r="B390" s="347">
        <f t="shared" si="163"/>
        <v>44290</v>
      </c>
      <c r="C390" s="61"/>
      <c r="D390" s="17">
        <v>36983</v>
      </c>
      <c r="E390" s="16"/>
      <c r="F390" s="16"/>
      <c r="G390" s="16"/>
      <c r="H390" s="16">
        <f t="shared" si="332"/>
        <v>31135128</v>
      </c>
      <c r="I390" s="16"/>
      <c r="J390" s="436">
        <f t="shared" si="333"/>
        <v>1.1892349206037852E-3</v>
      </c>
      <c r="K390" s="16"/>
      <c r="L390" s="16"/>
      <c r="M390" s="16"/>
      <c r="N390" s="16">
        <f t="shared" si="334"/>
        <v>408825</v>
      </c>
      <c r="O390" s="16">
        <f t="shared" si="335"/>
        <v>81719.496062992126</v>
      </c>
      <c r="P390" s="41"/>
      <c r="Q390" s="17">
        <f t="shared" si="336"/>
        <v>408825</v>
      </c>
      <c r="R390" s="16"/>
      <c r="S390" s="60">
        <f t="shared" si="337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8"/>
        <v>5034</v>
      </c>
      <c r="AA390" s="33">
        <f t="shared" si="339"/>
        <v>559462</v>
      </c>
      <c r="AB390" s="33"/>
      <c r="AC390" s="46">
        <f t="shared" si="340"/>
        <v>1.7968835715080407E-2</v>
      </c>
      <c r="AD390" s="33"/>
      <c r="AE390" s="33">
        <f t="shared" si="341"/>
        <v>1468.4041994750655</v>
      </c>
      <c r="AF390" s="50"/>
      <c r="AG390" s="33">
        <f t="shared" si="342"/>
        <v>5695</v>
      </c>
      <c r="AH390" s="33">
        <f t="shared" si="315"/>
        <v>1124053844.060914</v>
      </c>
      <c r="AI390" s="213">
        <f t="shared" si="343"/>
        <v>-0.15366324862535294</v>
      </c>
      <c r="AJ390" s="50"/>
      <c r="AK390" s="111"/>
      <c r="AL390" s="23">
        <f t="shared" si="344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45"/>
        <v>2.1791923809498302E-3</v>
      </c>
      <c r="AS390" s="25"/>
      <c r="AT390" s="25"/>
      <c r="AU390" s="24"/>
      <c r="AV390" s="298">
        <f t="shared" si="346"/>
        <v>0.76912171358344827</v>
      </c>
      <c r="AW390" s="298"/>
      <c r="AX390" s="24">
        <f t="shared" si="347"/>
        <v>62852.238845144355</v>
      </c>
      <c r="AY390" s="308"/>
      <c r="AZ390" s="111"/>
      <c r="BA390" s="65">
        <f t="shared" si="348"/>
        <v>1143292</v>
      </c>
      <c r="BB390" s="66"/>
      <c r="BC390" s="66">
        <v>409401180</v>
      </c>
      <c r="BD390" s="66"/>
      <c r="BE390" s="66">
        <f t="shared" si="349"/>
        <v>36983</v>
      </c>
      <c r="BF390" s="66"/>
      <c r="BG390" s="144">
        <f t="shared" si="350"/>
        <v>3.234781665576248E-2</v>
      </c>
      <c r="BH390" s="66"/>
      <c r="BI390" s="170"/>
      <c r="BJ390" s="66"/>
      <c r="BK390" s="66">
        <f t="shared" si="351"/>
        <v>10059162</v>
      </c>
      <c r="BL390" s="66"/>
      <c r="BM390" s="144">
        <f t="shared" si="352"/>
        <v>4.0642053483182797E-2</v>
      </c>
      <c r="BN390" s="65">
        <f t="shared" si="353"/>
        <v>1074543.7795275589</v>
      </c>
      <c r="BO390" s="66"/>
      <c r="BP390" s="66">
        <f t="shared" si="354"/>
        <v>30228150</v>
      </c>
      <c r="BQ390" s="66"/>
      <c r="BR390" s="435">
        <f t="shared" si="355"/>
        <v>7.3835033890229634E-2</v>
      </c>
      <c r="BS390" s="66"/>
      <c r="BT390" s="75"/>
      <c r="BU390" s="170"/>
      <c r="BV390" s="1"/>
      <c r="BW390" s="61">
        <f t="shared" si="189"/>
        <v>381</v>
      </c>
    </row>
    <row r="391" spans="2:75" x14ac:dyDescent="0.3">
      <c r="B391" s="158">
        <f t="shared" si="163"/>
        <v>44291</v>
      </c>
      <c r="C391" s="61"/>
      <c r="D391" s="17">
        <v>57644</v>
      </c>
      <c r="E391" s="16"/>
      <c r="F391" s="16"/>
      <c r="G391" s="16"/>
      <c r="H391" s="16">
        <f t="shared" si="332"/>
        <v>31192772</v>
      </c>
      <c r="I391" s="16"/>
      <c r="J391" s="436">
        <f t="shared" si="333"/>
        <v>1.8514136187267321E-3</v>
      </c>
      <c r="K391" s="16"/>
      <c r="L391" s="16"/>
      <c r="M391" s="16"/>
      <c r="N391" s="16">
        <f t="shared" si="334"/>
        <v>406271</v>
      </c>
      <c r="O391" s="16">
        <f t="shared" si="335"/>
        <v>81656.471204188478</v>
      </c>
      <c r="P391" s="41"/>
      <c r="Q391" s="17">
        <f t="shared" si="336"/>
        <v>406271</v>
      </c>
      <c r="R391" s="16"/>
      <c r="S391" s="60">
        <f t="shared" si="337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8"/>
        <v>4685</v>
      </c>
      <c r="AA391" s="33">
        <f t="shared" si="339"/>
        <v>559986</v>
      </c>
      <c r="AB391" s="33"/>
      <c r="AC391" s="46">
        <f t="shared" si="340"/>
        <v>1.7952428209971207E-2</v>
      </c>
      <c r="AD391" s="33"/>
      <c r="AE391" s="33">
        <f t="shared" si="341"/>
        <v>1465.931937172775</v>
      </c>
      <c r="AF391" s="50"/>
      <c r="AG391" s="33">
        <f t="shared" si="342"/>
        <v>5558</v>
      </c>
      <c r="AH391" s="33">
        <f t="shared" si="315"/>
        <v>1123995616.060914</v>
      </c>
      <c r="AI391" s="213">
        <f t="shared" si="343"/>
        <v>-0.17708024874148653</v>
      </c>
      <c r="AJ391" s="50"/>
      <c r="AK391" s="111"/>
      <c r="AL391" s="23">
        <f t="shared" si="344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45"/>
        <v>3.9394567176951247E-3</v>
      </c>
      <c r="AS391" s="25"/>
      <c r="AT391" s="25"/>
      <c r="AU391" s="24"/>
      <c r="AV391" s="298">
        <f t="shared" si="346"/>
        <v>0.77072470506949498</v>
      </c>
      <c r="AW391" s="298"/>
      <c r="AX391" s="24">
        <f t="shared" si="347"/>
        <v>62934.659685863873</v>
      </c>
      <c r="AY391" s="308"/>
      <c r="AZ391" s="111"/>
      <c r="BA391" s="65">
        <f t="shared" si="348"/>
        <v>1578516</v>
      </c>
      <c r="BB391" s="66"/>
      <c r="BC391" s="66">
        <v>410979696</v>
      </c>
      <c r="BD391" s="66"/>
      <c r="BE391" s="66">
        <f t="shared" si="349"/>
        <v>57644</v>
      </c>
      <c r="BF391" s="66"/>
      <c r="BG391" s="144">
        <f t="shared" si="350"/>
        <v>3.6517843341467557E-2</v>
      </c>
      <c r="BH391" s="66"/>
      <c r="BI391" s="170"/>
      <c r="BJ391" s="66"/>
      <c r="BK391" s="66">
        <f t="shared" si="351"/>
        <v>10102454</v>
      </c>
      <c r="BL391" s="66"/>
      <c r="BM391" s="144">
        <f t="shared" si="352"/>
        <v>4.0215080415114984E-2</v>
      </c>
      <c r="BN391" s="65">
        <f t="shared" si="353"/>
        <v>1075863.0785340315</v>
      </c>
      <c r="BO391" s="66"/>
      <c r="BP391" s="66">
        <f t="shared" si="354"/>
        <v>30285794</v>
      </c>
      <c r="BQ391" s="66"/>
      <c r="BR391" s="435">
        <f t="shared" si="355"/>
        <v>7.3691703738084424E-2</v>
      </c>
      <c r="BS391" s="66"/>
      <c r="BT391" s="75"/>
      <c r="BU391" s="170"/>
      <c r="BV391" s="1"/>
      <c r="BW391" s="61">
        <f t="shared" si="189"/>
        <v>382</v>
      </c>
    </row>
    <row r="392" spans="2:75" x14ac:dyDescent="0.3">
      <c r="B392" s="158">
        <f t="shared" si="163"/>
        <v>44292</v>
      </c>
      <c r="C392" s="61"/>
      <c r="D392" s="17">
        <v>62283</v>
      </c>
      <c r="E392" s="16"/>
      <c r="F392" s="16"/>
      <c r="G392" s="16"/>
      <c r="H392" s="16">
        <f t="shared" si="332"/>
        <v>31255055</v>
      </c>
      <c r="I392" s="16"/>
      <c r="J392" s="436">
        <f t="shared" si="333"/>
        <v>1.9967125717457877E-3</v>
      </c>
      <c r="K392" s="16"/>
      <c r="L392" s="16"/>
      <c r="M392" s="16"/>
      <c r="N392" s="16">
        <f t="shared" si="334"/>
        <v>406095</v>
      </c>
      <c r="O392" s="16">
        <f t="shared" si="335"/>
        <v>81605.887728459536</v>
      </c>
      <c r="P392" s="41"/>
      <c r="Q392" s="17">
        <f t="shared" si="336"/>
        <v>406095</v>
      </c>
      <c r="R392" s="16"/>
      <c r="S392" s="60">
        <f t="shared" si="337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8"/>
        <v>4476</v>
      </c>
      <c r="AA392" s="33">
        <f t="shared" si="339"/>
        <v>560892</v>
      </c>
      <c r="AB392" s="33"/>
      <c r="AC392" s="46">
        <f t="shared" si="340"/>
        <v>1.7945641113093547E-2</v>
      </c>
      <c r="AD392" s="33"/>
      <c r="AE392" s="33">
        <f t="shared" si="341"/>
        <v>1464.4699738903394</v>
      </c>
      <c r="AF392" s="50"/>
      <c r="AG392" s="33">
        <f t="shared" si="342"/>
        <v>5591</v>
      </c>
      <c r="AH392" s="33">
        <f t="shared" si="315"/>
        <v>1123953649.060914</v>
      </c>
      <c r="AI392" s="213">
        <f t="shared" si="343"/>
        <v>-0.16439994021820356</v>
      </c>
      <c r="AJ392" s="50"/>
      <c r="AK392" s="111"/>
      <c r="AL392" s="23">
        <f t="shared" si="344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45"/>
        <v>3.3767673944222047E-3</v>
      </c>
      <c r="AS392" s="25"/>
      <c r="AT392" s="25"/>
      <c r="AU392" s="24"/>
      <c r="AV392" s="298">
        <f t="shared" si="346"/>
        <v>0.77178622785978135</v>
      </c>
      <c r="AW392" s="298"/>
      <c r="AX392" s="24">
        <f t="shared" si="347"/>
        <v>62982.300261096607</v>
      </c>
      <c r="AY392" s="308"/>
      <c r="AZ392" s="111"/>
      <c r="BA392" s="65">
        <f t="shared" si="348"/>
        <v>1231087</v>
      </c>
      <c r="BB392" s="66"/>
      <c r="BC392" s="66">
        <v>412210783</v>
      </c>
      <c r="BD392" s="66"/>
      <c r="BE392" s="66">
        <f t="shared" si="349"/>
        <v>62283</v>
      </c>
      <c r="BF392" s="66"/>
      <c r="BG392" s="144">
        <f t="shared" si="350"/>
        <v>5.0591875310193352E-2</v>
      </c>
      <c r="BH392" s="66"/>
      <c r="BI392" s="170"/>
      <c r="BJ392" s="66"/>
      <c r="BK392" s="66">
        <f t="shared" si="351"/>
        <v>10153466</v>
      </c>
      <c r="BL392" s="66"/>
      <c r="BM392" s="144">
        <f t="shared" si="352"/>
        <v>3.9995701960296122E-2</v>
      </c>
      <c r="BN392" s="65">
        <f t="shared" si="353"/>
        <v>1076268.362924282</v>
      </c>
      <c r="BO392" s="66"/>
      <c r="BP392" s="66">
        <f t="shared" si="354"/>
        <v>30348077</v>
      </c>
      <c r="BQ392" s="66"/>
      <c r="BR392" s="435">
        <f t="shared" si="355"/>
        <v>7.3622715007918657E-2</v>
      </c>
      <c r="BS392" s="66"/>
      <c r="BT392" s="75"/>
      <c r="BU392" s="170"/>
      <c r="BV392" s="1"/>
      <c r="BW392" s="61">
        <f t="shared" si="189"/>
        <v>383</v>
      </c>
    </row>
    <row r="393" spans="2:75" x14ac:dyDescent="0.3">
      <c r="B393" s="158">
        <f t="shared" si="163"/>
        <v>44293</v>
      </c>
      <c r="C393" s="61"/>
      <c r="D393" s="17">
        <v>75183</v>
      </c>
      <c r="E393" s="16"/>
      <c r="F393" s="16"/>
      <c r="G393" s="16"/>
      <c r="H393" s="16">
        <f t="shared" si="332"/>
        <v>31330238</v>
      </c>
      <c r="I393" s="16"/>
      <c r="J393" s="436">
        <f t="shared" si="333"/>
        <v>2.4054668916756025E-3</v>
      </c>
      <c r="K393" s="16"/>
      <c r="L393" s="16"/>
      <c r="M393" s="16"/>
      <c r="N393" s="16">
        <f t="shared" si="334"/>
        <v>412522</v>
      </c>
      <c r="O393" s="16">
        <f t="shared" si="335"/>
        <v>81589.161458333328</v>
      </c>
      <c r="P393" s="41"/>
      <c r="Q393" s="17">
        <f t="shared" si="336"/>
        <v>412522</v>
      </c>
      <c r="R393" s="16"/>
      <c r="S393" s="60">
        <f t="shared" si="337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8"/>
        <v>4381</v>
      </c>
      <c r="AA393" s="33">
        <f t="shared" si="339"/>
        <v>561765</v>
      </c>
      <c r="AB393" s="33"/>
      <c r="AC393" s="46">
        <f t="shared" si="340"/>
        <v>1.7930441511488038E-2</v>
      </c>
      <c r="AD393" s="33"/>
      <c r="AE393" s="33">
        <f t="shared" si="341"/>
        <v>1462.9296875</v>
      </c>
      <c r="AF393" s="50"/>
      <c r="AG393" s="33">
        <f t="shared" si="342"/>
        <v>5349</v>
      </c>
      <c r="AH393" s="33">
        <f t="shared" si="315"/>
        <v>1123908281.060914</v>
      </c>
      <c r="AI393" s="213">
        <f t="shared" si="343"/>
        <v>-0.16434932041868458</v>
      </c>
      <c r="AJ393" s="50"/>
      <c r="AK393" s="111"/>
      <c r="AL393" s="23">
        <f t="shared" si="344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45"/>
        <v>3.495449278903464E-3</v>
      </c>
      <c r="AS393" s="25"/>
      <c r="AT393" s="25"/>
      <c r="AU393" s="24"/>
      <c r="AV393" s="298">
        <f t="shared" si="346"/>
        <v>0.77262544255169718</v>
      </c>
      <c r="AW393" s="298"/>
      <c r="AX393" s="24">
        <f t="shared" si="347"/>
        <v>63037.861979166664</v>
      </c>
      <c r="AY393" s="308"/>
      <c r="AZ393" s="111"/>
      <c r="BA393" s="65">
        <f t="shared" si="348"/>
        <v>1267891</v>
      </c>
      <c r="BB393" s="66"/>
      <c r="BC393" s="66">
        <v>413478674</v>
      </c>
      <c r="BD393" s="66"/>
      <c r="BE393" s="66">
        <f t="shared" si="349"/>
        <v>75183</v>
      </c>
      <c r="BF393" s="66"/>
      <c r="BG393" s="144">
        <f t="shared" si="350"/>
        <v>5.929768410691455E-2</v>
      </c>
      <c r="BH393" s="66"/>
      <c r="BI393" s="170"/>
      <c r="BJ393" s="66"/>
      <c r="BK393" s="66">
        <f t="shared" si="351"/>
        <v>10151790</v>
      </c>
      <c r="BL393" s="66"/>
      <c r="BM393" s="144">
        <f t="shared" si="352"/>
        <v>4.0635395334221849E-2</v>
      </c>
      <c r="BN393" s="65">
        <f t="shared" si="353"/>
        <v>1076767.3802083333</v>
      </c>
      <c r="BO393" s="66"/>
      <c r="BP393" s="66">
        <f t="shared" si="354"/>
        <v>30423260</v>
      </c>
      <c r="BQ393" s="66"/>
      <c r="BR393" s="435">
        <f t="shared" si="355"/>
        <v>7.3578788733370079E-2</v>
      </c>
      <c r="BS393" s="66"/>
      <c r="BT393" s="75"/>
      <c r="BU393" s="170"/>
      <c r="BV393" s="1"/>
      <c r="BW393" s="61">
        <f t="shared" si="189"/>
        <v>384</v>
      </c>
    </row>
    <row r="394" spans="2:75" x14ac:dyDescent="0.3">
      <c r="B394" s="158">
        <f t="shared" si="163"/>
        <v>44294</v>
      </c>
      <c r="C394" s="61"/>
      <c r="D394" s="17">
        <v>80161</v>
      </c>
      <c r="E394" s="16"/>
      <c r="F394" s="16"/>
      <c r="G394" s="16"/>
      <c r="H394" s="16">
        <f t="shared" si="332"/>
        <v>31410399</v>
      </c>
      <c r="I394" s="16"/>
      <c r="J394" s="436">
        <f t="shared" si="333"/>
        <v>2.5585825425264884E-3</v>
      </c>
      <c r="K394" s="16"/>
      <c r="L394" s="16"/>
      <c r="M394" s="16"/>
      <c r="N394" s="16">
        <f t="shared" si="334"/>
        <v>448432</v>
      </c>
      <c r="O394" s="16">
        <f t="shared" si="335"/>
        <v>81585.451948051952</v>
      </c>
      <c r="P394" s="41"/>
      <c r="Q394" s="17">
        <f t="shared" si="336"/>
        <v>448432</v>
      </c>
      <c r="R394" s="16"/>
      <c r="S394" s="60">
        <f t="shared" si="337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8"/>
        <v>4389</v>
      </c>
      <c r="AA394" s="33">
        <f t="shared" si="339"/>
        <v>562774</v>
      </c>
      <c r="AB394" s="33"/>
      <c r="AC394" s="46">
        <f t="shared" si="340"/>
        <v>1.7916805195629638E-2</v>
      </c>
      <c r="AD394" s="33"/>
      <c r="AE394" s="33">
        <f t="shared" si="341"/>
        <v>1461.7506493506494</v>
      </c>
      <c r="AF394" s="50"/>
      <c r="AG394" s="33">
        <f t="shared" si="342"/>
        <v>5390</v>
      </c>
      <c r="AH394" s="33">
        <f t="shared" si="315"/>
        <v>1123852598.060914</v>
      </c>
      <c r="AI394" s="213">
        <f t="shared" si="343"/>
        <v>-0.13120567375886524</v>
      </c>
      <c r="AJ394" s="50"/>
      <c r="AK394" s="111"/>
      <c r="AL394" s="23">
        <f t="shared" si="344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45"/>
        <v>2.7401686792151493E-3</v>
      </c>
      <c r="AS394" s="25"/>
      <c r="AT394" s="25"/>
      <c r="AU394" s="24"/>
      <c r="AV394" s="298">
        <f t="shared" si="346"/>
        <v>0.77276538257282246</v>
      </c>
      <c r="AW394" s="298"/>
      <c r="AX394" s="24">
        <f t="shared" si="347"/>
        <v>63046.412987012984</v>
      </c>
      <c r="AY394" s="308"/>
      <c r="AZ394" s="111"/>
      <c r="BA394" s="65">
        <f t="shared" si="348"/>
        <v>1688479</v>
      </c>
      <c r="BB394" s="66"/>
      <c r="BC394" s="66">
        <v>415167153</v>
      </c>
      <c r="BD394" s="66"/>
      <c r="BE394" s="66">
        <f t="shared" si="349"/>
        <v>80161</v>
      </c>
      <c r="BF394" s="66"/>
      <c r="BG394" s="144">
        <f t="shared" si="350"/>
        <v>4.7475272123609476E-2</v>
      </c>
      <c r="BH394" s="66"/>
      <c r="BI394" s="170"/>
      <c r="BJ394" s="66"/>
      <c r="BK394" s="66">
        <f t="shared" si="351"/>
        <v>9267153</v>
      </c>
      <c r="BL394" s="66"/>
      <c r="BM394" s="144">
        <f t="shared" si="352"/>
        <v>4.838940287270535E-2</v>
      </c>
      <c r="BN394" s="65">
        <f t="shared" si="353"/>
        <v>1078356.2415584417</v>
      </c>
      <c r="BO394" s="66"/>
      <c r="BP394" s="66">
        <f t="shared" si="354"/>
        <v>30503421</v>
      </c>
      <c r="BQ394" s="66"/>
      <c r="BR394" s="435">
        <f t="shared" si="355"/>
        <v>7.347262609669894E-2</v>
      </c>
      <c r="BS394" s="66"/>
      <c r="BT394" s="75"/>
      <c r="BU394" s="170"/>
      <c r="BV394" s="1"/>
      <c r="BW394" s="61">
        <f t="shared" si="189"/>
        <v>385</v>
      </c>
    </row>
    <row r="395" spans="2:75" x14ac:dyDescent="0.3">
      <c r="B395" s="158">
        <f t="shared" si="163"/>
        <v>44295</v>
      </c>
      <c r="C395" s="61"/>
      <c r="D395" s="17">
        <v>85368</v>
      </c>
      <c r="E395" s="16"/>
      <c r="F395" s="16"/>
      <c r="G395" s="16"/>
      <c r="H395" s="16">
        <f t="shared" si="332"/>
        <v>31495767</v>
      </c>
      <c r="I395" s="16"/>
      <c r="J395" s="436">
        <f t="shared" si="333"/>
        <v>2.7178260295260817E-3</v>
      </c>
      <c r="K395" s="16"/>
      <c r="L395" s="16"/>
      <c r="M395" s="16"/>
      <c r="N395" s="16">
        <f t="shared" si="334"/>
        <v>463776</v>
      </c>
      <c r="O395" s="16">
        <f t="shared" si="335"/>
        <v>81595.251295336784</v>
      </c>
      <c r="P395" s="41"/>
      <c r="Q395" s="17">
        <f t="shared" si="336"/>
        <v>463776</v>
      </c>
      <c r="R395" s="16"/>
      <c r="S395" s="60">
        <f t="shared" si="337"/>
        <v>0.12174108643755004</v>
      </c>
      <c r="T395" s="16"/>
      <c r="U395" s="41"/>
      <c r="V395" s="10">
        <f t="shared" ref="V395:V530" si="356">+V394+1</f>
        <v>287</v>
      </c>
      <c r="W395" s="34">
        <v>929</v>
      </c>
      <c r="X395" s="33">
        <v>4256</v>
      </c>
      <c r="Y395" s="33"/>
      <c r="Z395" s="33">
        <f t="shared" si="338"/>
        <v>4511</v>
      </c>
      <c r="AA395" s="33">
        <f t="shared" si="339"/>
        <v>563703</v>
      </c>
      <c r="AB395" s="33"/>
      <c r="AC395" s="46">
        <f t="shared" si="340"/>
        <v>1.7897738448471503E-2</v>
      </c>
      <c r="AD395" s="33"/>
      <c r="AE395" s="33">
        <f t="shared" si="341"/>
        <v>1460.3704663212436</v>
      </c>
      <c r="AF395" s="50"/>
      <c r="AG395" s="33">
        <f t="shared" si="342"/>
        <v>5318</v>
      </c>
      <c r="AH395" s="33">
        <f t="shared" si="315"/>
        <v>1123791238.060914</v>
      </c>
      <c r="AI395" s="213">
        <f t="shared" si="343"/>
        <v>-0.1010818120351589</v>
      </c>
      <c r="AJ395" s="50"/>
      <c r="AK395" s="111"/>
      <c r="AL395" s="23">
        <f t="shared" si="344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45"/>
        <v>3.0444279166175208E-3</v>
      </c>
      <c r="AS395" s="25"/>
      <c r="AT395" s="25"/>
      <c r="AU395" s="24"/>
      <c r="AV395" s="298">
        <f t="shared" si="346"/>
        <v>0.77301708512131173</v>
      </c>
      <c r="AW395" s="298"/>
      <c r="AX395" s="24">
        <f t="shared" si="347"/>
        <v>63074.523316062179</v>
      </c>
      <c r="AY395" s="308"/>
      <c r="AZ395" s="111"/>
      <c r="BA395" s="65">
        <f t="shared" si="348"/>
        <v>1622177</v>
      </c>
      <c r="BB395" s="66"/>
      <c r="BC395" s="66">
        <v>416789330</v>
      </c>
      <c r="BD395" s="66"/>
      <c r="BE395" s="66">
        <f t="shared" si="349"/>
        <v>85368</v>
      </c>
      <c r="BF395" s="66"/>
      <c r="BG395" s="144">
        <f t="shared" si="350"/>
        <v>5.2625576617101585E-2</v>
      </c>
      <c r="BH395" s="66"/>
      <c r="BI395" s="170"/>
      <c r="BJ395" s="66"/>
      <c r="BK395" s="66">
        <f t="shared" si="351"/>
        <v>10112993</v>
      </c>
      <c r="BL395" s="66"/>
      <c r="BM395" s="144">
        <f t="shared" si="352"/>
        <v>4.5859420648269013E-2</v>
      </c>
      <c r="BN395" s="65">
        <f t="shared" si="353"/>
        <v>1079765.103626943</v>
      </c>
      <c r="BO395" s="66"/>
      <c r="BP395" s="66">
        <f t="shared" si="354"/>
        <v>30588789</v>
      </c>
      <c r="BQ395" s="66"/>
      <c r="BR395" s="435">
        <f t="shared" si="355"/>
        <v>7.339148773314326E-2</v>
      </c>
      <c r="BS395" s="66"/>
      <c r="BT395" s="75"/>
      <c r="BU395" s="170"/>
      <c r="BV395" s="1"/>
      <c r="BW395" s="61">
        <f t="shared" si="189"/>
        <v>386</v>
      </c>
    </row>
    <row r="396" spans="2:75" x14ac:dyDescent="0.3">
      <c r="B396" s="158">
        <f t="shared" si="163"/>
        <v>44296</v>
      </c>
      <c r="C396" s="61"/>
      <c r="D396" s="17">
        <v>66780</v>
      </c>
      <c r="E396" s="16"/>
      <c r="F396" s="16"/>
      <c r="G396" s="16"/>
      <c r="H396" s="16">
        <f t="shared" si="332"/>
        <v>31562547</v>
      </c>
      <c r="I396" s="16"/>
      <c r="J396" s="436">
        <f t="shared" si="333"/>
        <v>2.1202849259076627E-3</v>
      </c>
      <c r="K396" s="16"/>
      <c r="L396" s="16"/>
      <c r="M396" s="16"/>
      <c r="N396" s="16">
        <f t="shared" si="334"/>
        <v>464402</v>
      </c>
      <c r="O396" s="16">
        <f t="shared" si="335"/>
        <v>81556.968992248061</v>
      </c>
      <c r="P396" s="41"/>
      <c r="Q396" s="17">
        <f t="shared" si="336"/>
        <v>464402</v>
      </c>
      <c r="R396" s="16"/>
      <c r="S396" s="60">
        <f t="shared" si="337"/>
        <v>0.11651736556890691</v>
      </c>
      <c r="T396" s="16"/>
      <c r="U396" s="41"/>
      <c r="V396" s="10">
        <f t="shared" si="356"/>
        <v>288</v>
      </c>
      <c r="W396" s="34">
        <v>742</v>
      </c>
      <c r="X396" s="33">
        <v>4256</v>
      </c>
      <c r="Y396" s="33"/>
      <c r="Z396" s="33">
        <f t="shared" si="338"/>
        <v>4983</v>
      </c>
      <c r="AA396" s="33">
        <f t="shared" si="339"/>
        <v>564445</v>
      </c>
      <c r="AB396" s="33"/>
      <c r="AC396" s="46">
        <f t="shared" si="340"/>
        <v>1.7883379310294573E-2</v>
      </c>
      <c r="AD396" s="33"/>
      <c r="AE396" s="33">
        <f t="shared" si="341"/>
        <v>1458.514211886305</v>
      </c>
      <c r="AF396" s="50"/>
      <c r="AG396" s="33">
        <f t="shared" si="342"/>
        <v>5253</v>
      </c>
      <c r="AH396" s="33">
        <f t="shared" si="315"/>
        <v>1123728465.060914</v>
      </c>
      <c r="AI396" s="213">
        <f t="shared" si="343"/>
        <v>-0.11491154170176916</v>
      </c>
      <c r="AJ396" s="50"/>
      <c r="AK396" s="111"/>
      <c r="AL396" s="23">
        <f t="shared" si="344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45"/>
        <v>3.1553677396004053E-3</v>
      </c>
      <c r="AS396" s="25"/>
      <c r="AT396" s="25"/>
      <c r="AU396" s="24"/>
      <c r="AV396" s="298">
        <f t="shared" si="346"/>
        <v>0.77381552889251937</v>
      </c>
      <c r="AW396" s="298"/>
      <c r="AX396" s="24">
        <f t="shared" si="347"/>
        <v>63110.049095607232</v>
      </c>
      <c r="AY396" s="308"/>
      <c r="AZ396" s="111"/>
      <c r="BA396" s="65">
        <f t="shared" si="348"/>
        <v>1441301</v>
      </c>
      <c r="BB396" s="66"/>
      <c r="BC396" s="66">
        <v>418230631</v>
      </c>
      <c r="BD396" s="66"/>
      <c r="BE396" s="66">
        <f t="shared" si="349"/>
        <v>66780</v>
      </c>
      <c r="BF396" s="66"/>
      <c r="BG396" s="144">
        <f t="shared" si="350"/>
        <v>4.6333139295678005E-2</v>
      </c>
      <c r="BH396" s="66"/>
      <c r="BI396" s="170"/>
      <c r="BJ396" s="66"/>
      <c r="BK396" s="66">
        <f t="shared" si="351"/>
        <v>9972743</v>
      </c>
      <c r="BL396" s="66"/>
      <c r="BM396" s="144">
        <f t="shared" si="352"/>
        <v>4.6567128020846421E-2</v>
      </c>
      <c r="BN396" s="65">
        <f t="shared" si="353"/>
        <v>1080699.3049095608</v>
      </c>
      <c r="BO396" s="66"/>
      <c r="BP396" s="66">
        <f t="shared" si="354"/>
        <v>30655569</v>
      </c>
      <c r="BQ396" s="66"/>
      <c r="BR396" s="435">
        <f t="shared" si="355"/>
        <v>7.3298239602158644E-2</v>
      </c>
      <c r="BS396" s="66"/>
      <c r="BT396" s="75"/>
      <c r="BU396" s="170"/>
      <c r="BV396" s="1"/>
      <c r="BW396" s="61">
        <f t="shared" si="189"/>
        <v>387</v>
      </c>
    </row>
    <row r="397" spans="2:75" x14ac:dyDescent="0.3">
      <c r="B397" s="347">
        <f t="shared" si="163"/>
        <v>44297</v>
      </c>
      <c r="C397" s="61"/>
      <c r="D397" s="17">
        <v>47874</v>
      </c>
      <c r="E397" s="16"/>
      <c r="F397" s="16"/>
      <c r="G397" s="16"/>
      <c r="H397" s="16">
        <f t="shared" si="332"/>
        <v>31610421</v>
      </c>
      <c r="I397" s="16"/>
      <c r="J397" s="436">
        <f t="shared" si="333"/>
        <v>1.5167977413229673E-3</v>
      </c>
      <c r="K397" s="16"/>
      <c r="L397" s="16"/>
      <c r="M397" s="16"/>
      <c r="N397" s="16">
        <f t="shared" si="334"/>
        <v>475293</v>
      </c>
      <c r="O397" s="16">
        <f t="shared" si="335"/>
        <v>81470.157216494845</v>
      </c>
      <c r="P397" s="41"/>
      <c r="Q397" s="17">
        <f t="shared" si="336"/>
        <v>475293</v>
      </c>
      <c r="R397" s="16"/>
      <c r="S397" s="60">
        <f t="shared" si="337"/>
        <v>0.16258301229132269</v>
      </c>
      <c r="T397" s="16"/>
      <c r="U397" s="41"/>
      <c r="V397" s="10">
        <f t="shared" si="356"/>
        <v>289</v>
      </c>
      <c r="W397" s="34">
        <v>276</v>
      </c>
      <c r="X397" s="33">
        <v>4256</v>
      </c>
      <c r="Y397" s="33"/>
      <c r="Z397" s="33">
        <f t="shared" si="338"/>
        <v>4735</v>
      </c>
      <c r="AA397" s="33">
        <f t="shared" si="339"/>
        <v>564721</v>
      </c>
      <c r="AB397" s="33"/>
      <c r="AC397" s="46">
        <f t="shared" si="340"/>
        <v>1.7865026220308802E-2</v>
      </c>
      <c r="AD397" s="33"/>
      <c r="AE397" s="33">
        <f t="shared" si="341"/>
        <v>1455.4664948453608</v>
      </c>
      <c r="AF397" s="50"/>
      <c r="AG397" s="33">
        <f t="shared" si="342"/>
        <v>5259</v>
      </c>
      <c r="AH397" s="33">
        <f t="shared" si="315"/>
        <v>1123661680.060914</v>
      </c>
      <c r="AI397" s="213">
        <f t="shared" si="343"/>
        <v>-7.6558384547848995E-2</v>
      </c>
      <c r="AJ397" s="50"/>
      <c r="AK397" s="111"/>
      <c r="AL397" s="23">
        <f t="shared" si="344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45"/>
        <v>2.3310660853325038E-3</v>
      </c>
      <c r="AS397" s="25"/>
      <c r="AT397" s="25"/>
      <c r="AU397" s="24"/>
      <c r="AV397" s="298">
        <f t="shared" si="346"/>
        <v>0.77444466810486323</v>
      </c>
      <c r="AW397" s="298"/>
      <c r="AX397" s="24">
        <f t="shared" si="347"/>
        <v>63094.128865979379</v>
      </c>
      <c r="AY397" s="308"/>
      <c r="AZ397" s="111"/>
      <c r="BA397" s="65">
        <f t="shared" si="348"/>
        <v>1156873</v>
      </c>
      <c r="BB397" s="66"/>
      <c r="BC397" s="66">
        <v>419387504</v>
      </c>
      <c r="BD397" s="66"/>
      <c r="BE397" s="66">
        <f t="shared" si="349"/>
        <v>47874</v>
      </c>
      <c r="BF397" s="66"/>
      <c r="BG397" s="144">
        <f t="shared" si="350"/>
        <v>4.1382243340453102E-2</v>
      </c>
      <c r="BH397" s="66"/>
      <c r="BI397" s="170"/>
      <c r="BJ397" s="66"/>
      <c r="BK397" s="66">
        <f t="shared" si="351"/>
        <v>9986324</v>
      </c>
      <c r="BL397" s="66"/>
      <c r="BM397" s="144">
        <f t="shared" si="352"/>
        <v>4.7594390087884193E-2</v>
      </c>
      <c r="BN397" s="65">
        <f t="shared" si="353"/>
        <v>1080895.6288659794</v>
      </c>
      <c r="BO397" s="66"/>
      <c r="BP397" s="66">
        <f t="shared" si="354"/>
        <v>30703443</v>
      </c>
      <c r="BQ397" s="66"/>
      <c r="BR397" s="435">
        <f t="shared" si="355"/>
        <v>7.3210199891888053E-2</v>
      </c>
      <c r="BS397" s="66"/>
      <c r="BT397" s="75"/>
      <c r="BU397" s="170"/>
      <c r="BV397" s="1"/>
      <c r="BW397" s="61">
        <f t="shared" si="189"/>
        <v>388</v>
      </c>
    </row>
    <row r="398" spans="2:75" x14ac:dyDescent="0.3">
      <c r="B398" s="158">
        <f t="shared" si="163"/>
        <v>44298</v>
      </c>
      <c r="C398" s="61"/>
      <c r="D398" s="17">
        <v>56522</v>
      </c>
      <c r="E398" s="16"/>
      <c r="F398" s="16"/>
      <c r="G398" s="16"/>
      <c r="H398" s="16">
        <f t="shared" si="332"/>
        <v>31666943</v>
      </c>
      <c r="I398" s="16"/>
      <c r="J398" s="436">
        <f t="shared" si="333"/>
        <v>1.7880812153688178E-3</v>
      </c>
      <c r="K398" s="16"/>
      <c r="L398" s="16"/>
      <c r="M398" s="16"/>
      <c r="N398" s="16">
        <f t="shared" si="334"/>
        <v>474171</v>
      </c>
      <c r="O398" s="16">
        <f t="shared" si="335"/>
        <v>81406.023136246789</v>
      </c>
      <c r="P398" s="41"/>
      <c r="Q398" s="17">
        <f t="shared" si="336"/>
        <v>474171</v>
      </c>
      <c r="R398" s="16"/>
      <c r="S398" s="60">
        <f t="shared" si="337"/>
        <v>0.16712982221226719</v>
      </c>
      <c r="T398" s="16"/>
      <c r="U398" s="41"/>
      <c r="V398" s="10">
        <f t="shared" si="356"/>
        <v>290</v>
      </c>
      <c r="W398" s="34">
        <v>460</v>
      </c>
      <c r="X398" s="33">
        <v>4256</v>
      </c>
      <c r="Y398" s="33"/>
      <c r="Z398" s="33">
        <f t="shared" si="338"/>
        <v>4289</v>
      </c>
      <c r="AA398" s="33">
        <f t="shared" si="339"/>
        <v>565181</v>
      </c>
      <c r="AB398" s="33"/>
      <c r="AC398" s="46">
        <f t="shared" si="340"/>
        <v>1.7847665308267993E-2</v>
      </c>
      <c r="AD398" s="33"/>
      <c r="AE398" s="33">
        <f t="shared" si="341"/>
        <v>1452.9074550128535</v>
      </c>
      <c r="AF398" s="50"/>
      <c r="AG398" s="33">
        <f t="shared" si="342"/>
        <v>5195</v>
      </c>
      <c r="AH398" s="33">
        <f t="shared" si="315"/>
        <v>1123611962.060914</v>
      </c>
      <c r="AI398" s="213">
        <f t="shared" si="343"/>
        <v>-6.531126304426052E-2</v>
      </c>
      <c r="AJ398" s="50"/>
      <c r="AK398" s="111"/>
      <c r="AL398" s="23">
        <f t="shared" si="344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45"/>
        <v>3.2815476728805049E-3</v>
      </c>
      <c r="AS398" s="25"/>
      <c r="AT398" s="25"/>
      <c r="AU398" s="24"/>
      <c r="AV398" s="298">
        <f t="shared" si="346"/>
        <v>0.77559921082372874</v>
      </c>
      <c r="AW398" s="298"/>
      <c r="AX398" s="24">
        <f t="shared" si="347"/>
        <v>63138.447300771208</v>
      </c>
      <c r="AY398" s="308"/>
      <c r="AZ398" s="111"/>
      <c r="BA398" s="65">
        <f t="shared" si="348"/>
        <v>1435195</v>
      </c>
      <c r="BB398" s="66"/>
      <c r="BC398" s="66">
        <v>420822699</v>
      </c>
      <c r="BD398" s="66"/>
      <c r="BE398" s="66">
        <f t="shared" si="349"/>
        <v>56522</v>
      </c>
      <c r="BF398" s="66"/>
      <c r="BG398" s="144">
        <f t="shared" si="350"/>
        <v>3.9382801640195232E-2</v>
      </c>
      <c r="BH398" s="66"/>
      <c r="BI398" s="170"/>
      <c r="BJ398" s="66"/>
      <c r="BK398" s="66">
        <f t="shared" si="351"/>
        <v>9843003</v>
      </c>
      <c r="BL398" s="66"/>
      <c r="BM398" s="144">
        <f t="shared" si="352"/>
        <v>4.8173408054432168E-2</v>
      </c>
      <c r="BN398" s="65">
        <f t="shared" si="353"/>
        <v>1081806.4241645245</v>
      </c>
      <c r="BO398" s="66"/>
      <c r="BP398" s="66">
        <f t="shared" si="354"/>
        <v>30759965</v>
      </c>
      <c r="BQ398" s="66"/>
      <c r="BR398" s="435">
        <f t="shared" si="355"/>
        <v>7.3094833223338082E-2</v>
      </c>
      <c r="BS398" s="66"/>
      <c r="BT398" s="75"/>
      <c r="BU398" s="170"/>
      <c r="BV398" s="1"/>
      <c r="BW398" s="61">
        <f t="shared" si="189"/>
        <v>389</v>
      </c>
    </row>
    <row r="399" spans="2:75" x14ac:dyDescent="0.3">
      <c r="B399" s="158">
        <f t="shared" si="163"/>
        <v>44299</v>
      </c>
      <c r="C399" s="61"/>
      <c r="D399" s="17">
        <v>77720</v>
      </c>
      <c r="E399" s="16"/>
      <c r="F399" s="16"/>
      <c r="G399" s="16"/>
      <c r="H399" s="16">
        <f t="shared" si="332"/>
        <v>31744663</v>
      </c>
      <c r="I399" s="16"/>
      <c r="J399" s="436">
        <f t="shared" si="333"/>
        <v>2.4542943725259494E-3</v>
      </c>
      <c r="K399" s="16"/>
      <c r="L399" s="16"/>
      <c r="M399" s="16"/>
      <c r="N399" s="16">
        <f t="shared" si="334"/>
        <v>489608</v>
      </c>
      <c r="O399" s="16">
        <f t="shared" si="335"/>
        <v>81396.571794871794</v>
      </c>
      <c r="P399" s="41"/>
      <c r="Q399" s="17">
        <f t="shared" si="336"/>
        <v>489608</v>
      </c>
      <c r="R399" s="16"/>
      <c r="S399" s="60">
        <f t="shared" si="337"/>
        <v>0.20564892451273717</v>
      </c>
      <c r="T399" s="16"/>
      <c r="U399" s="41"/>
      <c r="V399" s="10">
        <f t="shared" si="356"/>
        <v>291</v>
      </c>
      <c r="W399" s="34">
        <v>819</v>
      </c>
      <c r="X399" s="33">
        <v>4256</v>
      </c>
      <c r="Y399" s="33"/>
      <c r="Z399" s="33">
        <f t="shared" si="338"/>
        <v>4235</v>
      </c>
      <c r="AA399" s="33">
        <f t="shared" si="339"/>
        <v>566000</v>
      </c>
      <c r="AB399" s="33"/>
      <c r="AC399" s="46">
        <f t="shared" si="340"/>
        <v>1.7829768739394083E-2</v>
      </c>
      <c r="AD399" s="33"/>
      <c r="AE399" s="33">
        <f t="shared" si="341"/>
        <v>1451.2820512820513</v>
      </c>
      <c r="AF399" s="50"/>
      <c r="AG399" s="33">
        <f t="shared" si="342"/>
        <v>5108</v>
      </c>
      <c r="AH399" s="33">
        <f t="shared" si="315"/>
        <v>1123575066.060914</v>
      </c>
      <c r="AI399" s="213">
        <f t="shared" si="343"/>
        <v>-8.6388839205866569E-2</v>
      </c>
      <c r="AJ399" s="50"/>
      <c r="AK399" s="111"/>
      <c r="AL399" s="23">
        <f t="shared" si="344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45"/>
        <v>2.6690437825131175E-3</v>
      </c>
      <c r="AS399" s="25"/>
      <c r="AT399" s="25"/>
      <c r="AU399" s="24"/>
      <c r="AV399" s="298">
        <f t="shared" si="346"/>
        <v>0.77576536251148731</v>
      </c>
      <c r="AW399" s="298"/>
      <c r="AX399" s="24">
        <f t="shared" si="347"/>
        <v>63144.641025641024</v>
      </c>
      <c r="AY399" s="308"/>
      <c r="AZ399" s="111"/>
      <c r="BA399" s="65">
        <f t="shared" si="348"/>
        <v>1304062</v>
      </c>
      <c r="BB399" s="66"/>
      <c r="BC399" s="66">
        <v>422126761</v>
      </c>
      <c r="BD399" s="66"/>
      <c r="BE399" s="66">
        <f t="shared" si="349"/>
        <v>77720</v>
      </c>
      <c r="BF399" s="66"/>
      <c r="BG399" s="144">
        <f t="shared" si="350"/>
        <v>5.959839332792459E-2</v>
      </c>
      <c r="BH399" s="66"/>
      <c r="BI399" s="170"/>
      <c r="BJ399" s="66"/>
      <c r="BK399" s="66">
        <f t="shared" si="351"/>
        <v>9915978</v>
      </c>
      <c r="BL399" s="66"/>
      <c r="BM399" s="144">
        <f t="shared" si="352"/>
        <v>4.9375664205789885E-2</v>
      </c>
      <c r="BN399" s="65">
        <f t="shared" si="353"/>
        <v>1082376.3102564102</v>
      </c>
      <c r="BO399" s="66"/>
      <c r="BP399" s="66">
        <f t="shared" si="354"/>
        <v>30837685</v>
      </c>
      <c r="BQ399" s="66"/>
      <c r="BR399" s="435">
        <f t="shared" si="355"/>
        <v>7.3053139125666564E-2</v>
      </c>
      <c r="BS399" s="66"/>
      <c r="BT399" s="75"/>
      <c r="BU399" s="170"/>
      <c r="BV399" s="1"/>
      <c r="BW399" s="61">
        <f t="shared" si="189"/>
        <v>390</v>
      </c>
    </row>
    <row r="400" spans="2:75" x14ac:dyDescent="0.3">
      <c r="B400" s="158">
        <f t="shared" si="163"/>
        <v>44300</v>
      </c>
      <c r="C400" s="61"/>
      <c r="D400" s="17">
        <v>78439</v>
      </c>
      <c r="E400" s="16"/>
      <c r="F400" s="16"/>
      <c r="G400" s="16"/>
      <c r="H400" s="16">
        <f t="shared" si="332"/>
        <v>31823102</v>
      </c>
      <c r="I400" s="16"/>
      <c r="J400" s="436">
        <f t="shared" si="333"/>
        <v>2.4709350355995273E-3</v>
      </c>
      <c r="K400" s="16"/>
      <c r="L400" s="16"/>
      <c r="M400" s="16"/>
      <c r="N400" s="16">
        <f t="shared" si="334"/>
        <v>492864</v>
      </c>
      <c r="O400" s="16">
        <f t="shared" si="335"/>
        <v>81389.007672634267</v>
      </c>
      <c r="P400" s="41"/>
      <c r="Q400" s="17">
        <f t="shared" si="336"/>
        <v>492864</v>
      </c>
      <c r="R400" s="16"/>
      <c r="S400" s="60">
        <f t="shared" si="337"/>
        <v>0.19475809774993819</v>
      </c>
      <c r="T400" s="16"/>
      <c r="U400" s="41"/>
      <c r="V400" s="10">
        <f t="shared" si="356"/>
        <v>292</v>
      </c>
      <c r="W400" s="34">
        <v>915</v>
      </c>
      <c r="X400" s="33">
        <v>4256</v>
      </c>
      <c r="Y400" s="33"/>
      <c r="Z400" s="33">
        <f t="shared" si="338"/>
        <v>4141</v>
      </c>
      <c r="AA400" s="33">
        <f t="shared" si="339"/>
        <v>566915</v>
      </c>
      <c r="AB400" s="33"/>
      <c r="AC400" s="46">
        <f t="shared" si="340"/>
        <v>1.7814573827529448E-2</v>
      </c>
      <c r="AD400" s="33"/>
      <c r="AE400" s="33">
        <f t="shared" si="341"/>
        <v>1449.9104859335039</v>
      </c>
      <c r="AF400" s="50"/>
      <c r="AG400" s="33">
        <f t="shared" si="342"/>
        <v>5150</v>
      </c>
      <c r="AH400" s="33">
        <f t="shared" si="315"/>
        <v>1123528299.060914</v>
      </c>
      <c r="AI400" s="213">
        <f t="shared" si="343"/>
        <v>-3.7203215554309214E-2</v>
      </c>
      <c r="AJ400" s="50"/>
      <c r="AK400" s="111"/>
      <c r="AL400" s="23">
        <f t="shared" si="344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45"/>
        <v>2.8323657406824623E-3</v>
      </c>
      <c r="AS400" s="25"/>
      <c r="AT400" s="25"/>
      <c r="AU400" s="24"/>
      <c r="AV400" s="298">
        <f t="shared" si="346"/>
        <v>0.77604505682695546</v>
      </c>
      <c r="AW400" s="298"/>
      <c r="AX400" s="24">
        <f t="shared" si="347"/>
        <v>63161.53708439898</v>
      </c>
      <c r="AY400" s="308"/>
      <c r="AZ400" s="111"/>
      <c r="BA400" s="65">
        <f t="shared" si="348"/>
        <v>1312618</v>
      </c>
      <c r="BB400" s="66"/>
      <c r="BC400" s="66">
        <v>423439379</v>
      </c>
      <c r="BD400" s="66"/>
      <c r="BE400" s="66">
        <f t="shared" si="349"/>
        <v>78439</v>
      </c>
      <c r="BF400" s="66"/>
      <c r="BG400" s="144">
        <f t="shared" si="350"/>
        <v>5.9757675119494022E-2</v>
      </c>
      <c r="BH400" s="66"/>
      <c r="BI400" s="170"/>
      <c r="BJ400" s="66"/>
      <c r="BK400" s="66">
        <f t="shared" si="351"/>
        <v>9960705</v>
      </c>
      <c r="BL400" s="66"/>
      <c r="BM400" s="144">
        <f t="shared" si="352"/>
        <v>4.9480834940900269E-2</v>
      </c>
      <c r="BN400" s="65">
        <f t="shared" si="353"/>
        <v>1082965.1636828645</v>
      </c>
      <c r="BO400" s="66"/>
      <c r="BP400" s="66">
        <f t="shared" si="354"/>
        <v>30916124</v>
      </c>
      <c r="BQ400" s="66"/>
      <c r="BR400" s="435">
        <f t="shared" si="355"/>
        <v>7.301192457114386E-2</v>
      </c>
      <c r="BS400" s="66"/>
      <c r="BT400" s="75"/>
      <c r="BU400" s="170"/>
      <c r="BV400" s="1"/>
      <c r="BW400" s="61">
        <f t="shared" si="189"/>
        <v>391</v>
      </c>
    </row>
    <row r="401" spans="2:75" x14ac:dyDescent="0.3">
      <c r="B401" s="158">
        <f t="shared" si="163"/>
        <v>44301</v>
      </c>
      <c r="C401" s="61"/>
      <c r="D401" s="17">
        <v>74479</v>
      </c>
      <c r="E401" s="16"/>
      <c r="F401" s="16"/>
      <c r="G401" s="16"/>
      <c r="H401" s="16">
        <f t="shared" si="332"/>
        <v>31897581</v>
      </c>
      <c r="I401" s="16"/>
      <c r="J401" s="436">
        <f t="shared" si="333"/>
        <v>2.3404066643157541E-3</v>
      </c>
      <c r="K401" s="16"/>
      <c r="L401" s="16"/>
      <c r="M401" s="16"/>
      <c r="N401" s="16">
        <f t="shared" si="334"/>
        <v>487182</v>
      </c>
      <c r="O401" s="16">
        <f t="shared" si="335"/>
        <v>81371.380102040814</v>
      </c>
      <c r="P401" s="41"/>
      <c r="Q401" s="17">
        <f t="shared" si="336"/>
        <v>487182</v>
      </c>
      <c r="R401" s="16"/>
      <c r="S401" s="60">
        <f t="shared" si="337"/>
        <v>8.6412209654975564E-2</v>
      </c>
      <c r="T401" s="16"/>
      <c r="U401" s="41"/>
      <c r="V401" s="10">
        <f t="shared" si="356"/>
        <v>293</v>
      </c>
      <c r="W401" s="34">
        <v>895</v>
      </c>
      <c r="X401" s="33">
        <v>4256</v>
      </c>
      <c r="Y401" s="33"/>
      <c r="Z401" s="33">
        <f t="shared" si="338"/>
        <v>4107</v>
      </c>
      <c r="AA401" s="33">
        <f t="shared" si="339"/>
        <v>567810</v>
      </c>
      <c r="AB401" s="33"/>
      <c r="AC401" s="46">
        <f t="shared" si="340"/>
        <v>1.7801036385799912E-2</v>
      </c>
      <c r="AD401" s="33"/>
      <c r="AE401" s="33">
        <f t="shared" si="341"/>
        <v>1448.4948979591836</v>
      </c>
      <c r="AF401" s="50"/>
      <c r="AG401" s="33">
        <f t="shared" si="342"/>
        <v>5036</v>
      </c>
      <c r="AH401" s="33">
        <f t="shared" si="315"/>
        <v>1123475068.060914</v>
      </c>
      <c r="AI401" s="213">
        <f t="shared" si="343"/>
        <v>-6.5677179962894253E-2</v>
      </c>
      <c r="AJ401" s="50"/>
      <c r="AK401" s="111"/>
      <c r="AL401" s="23">
        <f t="shared" si="344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45"/>
        <v>3.0295801845477118E-3</v>
      </c>
      <c r="AS401" s="25"/>
      <c r="AT401" s="25"/>
      <c r="AU401" s="24"/>
      <c r="AV401" s="298">
        <f t="shared" si="346"/>
        <v>0.77657863773431601</v>
      </c>
      <c r="AW401" s="298"/>
      <c r="AX401" s="24">
        <f t="shared" si="347"/>
        <v>63191.275510204083</v>
      </c>
      <c r="AY401" s="308"/>
      <c r="AZ401" s="111"/>
      <c r="BA401" s="65">
        <f t="shared" si="348"/>
        <v>1463953</v>
      </c>
      <c r="BB401" s="66"/>
      <c r="BC401" s="66">
        <v>424903332</v>
      </c>
      <c r="BD401" s="66"/>
      <c r="BE401" s="66">
        <f t="shared" si="349"/>
        <v>74479</v>
      </c>
      <c r="BF401" s="66"/>
      <c r="BG401" s="144">
        <f t="shared" si="350"/>
        <v>5.0875267170462438E-2</v>
      </c>
      <c r="BH401" s="66"/>
      <c r="BI401" s="170"/>
      <c r="BJ401" s="66"/>
      <c r="BK401" s="66">
        <f t="shared" si="351"/>
        <v>9736179</v>
      </c>
      <c r="BL401" s="66"/>
      <c r="BM401" s="144">
        <f t="shared" si="352"/>
        <v>5.0038315852656362E-2</v>
      </c>
      <c r="BN401" s="65">
        <f t="shared" si="353"/>
        <v>1083937.0714285714</v>
      </c>
      <c r="BO401" s="66"/>
      <c r="BP401" s="66">
        <f t="shared" si="354"/>
        <v>30990603</v>
      </c>
      <c r="BQ401" s="66"/>
      <c r="BR401" s="435">
        <f t="shared" si="355"/>
        <v>7.2935655397496385E-2</v>
      </c>
      <c r="BS401" s="66"/>
      <c r="BT401" s="75"/>
      <c r="BU401" s="170"/>
      <c r="BV401" s="1"/>
      <c r="BW401" s="61">
        <f t="shared" si="189"/>
        <v>392</v>
      </c>
    </row>
    <row r="402" spans="2:75" x14ac:dyDescent="0.3">
      <c r="B402" s="158">
        <f t="shared" si="163"/>
        <v>44302</v>
      </c>
      <c r="C402" s="61"/>
      <c r="D402" s="17">
        <v>81773</v>
      </c>
      <c r="E402" s="16"/>
      <c r="F402" s="16"/>
      <c r="G402" s="16"/>
      <c r="H402" s="16">
        <f t="shared" si="332"/>
        <v>31979354</v>
      </c>
      <c r="I402" s="16"/>
      <c r="J402" s="436">
        <f t="shared" si="333"/>
        <v>2.5636113283950906E-3</v>
      </c>
      <c r="K402" s="16"/>
      <c r="L402" s="16"/>
      <c r="M402" s="16"/>
      <c r="N402" s="16">
        <f t="shared" si="334"/>
        <v>483587</v>
      </c>
      <c r="O402" s="16">
        <f t="shared" si="335"/>
        <v>81372.40203562341</v>
      </c>
      <c r="P402" s="41"/>
      <c r="Q402" s="17">
        <f t="shared" si="336"/>
        <v>483587</v>
      </c>
      <c r="R402" s="16"/>
      <c r="S402" s="60">
        <f t="shared" si="337"/>
        <v>4.2716742565376387E-2</v>
      </c>
      <c r="T402" s="16"/>
      <c r="U402" s="41"/>
      <c r="V402" s="10">
        <f t="shared" si="356"/>
        <v>294</v>
      </c>
      <c r="W402" s="34">
        <v>887</v>
      </c>
      <c r="X402" s="33">
        <v>4256</v>
      </c>
      <c r="Y402" s="33"/>
      <c r="Z402" s="33">
        <f t="shared" si="338"/>
        <v>4252</v>
      </c>
      <c r="AA402" s="33">
        <f t="shared" si="339"/>
        <v>568697</v>
      </c>
      <c r="AB402" s="33"/>
      <c r="AC402" s="46">
        <f t="shared" si="340"/>
        <v>1.7783254783695756E-2</v>
      </c>
      <c r="AD402" s="33"/>
      <c r="AE402" s="33">
        <f t="shared" si="341"/>
        <v>1447.0661577608143</v>
      </c>
      <c r="AF402" s="50"/>
      <c r="AG402" s="33">
        <f t="shared" si="342"/>
        <v>4994</v>
      </c>
      <c r="AH402" s="33">
        <f t="shared" si="315"/>
        <v>1123411573.060914</v>
      </c>
      <c r="AI402" s="213">
        <f t="shared" si="343"/>
        <v>-6.0925159834524255E-2</v>
      </c>
      <c r="AJ402" s="50"/>
      <c r="AK402" s="111"/>
      <c r="AL402" s="23">
        <f t="shared" si="344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45"/>
        <v>2.6323948426747752E-3</v>
      </c>
      <c r="AS402" s="25"/>
      <c r="AT402" s="25"/>
      <c r="AU402" s="24"/>
      <c r="AV402" s="298">
        <f t="shared" si="346"/>
        <v>0.7766319169549204</v>
      </c>
      <c r="AW402" s="298"/>
      <c r="AX402" s="24">
        <f t="shared" si="347"/>
        <v>63196.404580152674</v>
      </c>
      <c r="AY402" s="308"/>
      <c r="AZ402" s="111"/>
      <c r="BA402" s="65">
        <f t="shared" si="348"/>
        <v>1659274</v>
      </c>
      <c r="BB402" s="66"/>
      <c r="BC402" s="66">
        <v>426562606</v>
      </c>
      <c r="BD402" s="66"/>
      <c r="BE402" s="66">
        <f t="shared" si="349"/>
        <v>81773</v>
      </c>
      <c r="BF402" s="66"/>
      <c r="BG402" s="144">
        <f t="shared" si="350"/>
        <v>4.9282397000133794E-2</v>
      </c>
      <c r="BH402" s="66"/>
      <c r="BI402" s="170"/>
      <c r="BJ402" s="66"/>
      <c r="BK402" s="66">
        <f t="shared" si="351"/>
        <v>9773276</v>
      </c>
      <c r="BL402" s="66"/>
      <c r="BM402" s="144">
        <f t="shared" si="352"/>
        <v>4.9480542655297978E-2</v>
      </c>
      <c r="BN402" s="65">
        <f t="shared" si="353"/>
        <v>1085401.0330788805</v>
      </c>
      <c r="BO402" s="66"/>
      <c r="BP402" s="66">
        <f t="shared" si="354"/>
        <v>31072376</v>
      </c>
      <c r="BQ402" s="66"/>
      <c r="BR402" s="435">
        <f t="shared" si="355"/>
        <v>7.2843647246472423E-2</v>
      </c>
      <c r="BS402" s="66"/>
      <c r="BT402" s="75"/>
      <c r="BU402" s="170"/>
      <c r="BV402" s="1"/>
      <c r="BW402" s="61">
        <f t="shared" si="189"/>
        <v>393</v>
      </c>
    </row>
    <row r="403" spans="2:75" x14ac:dyDescent="0.3">
      <c r="B403" s="158">
        <f t="shared" si="163"/>
        <v>44303</v>
      </c>
      <c r="C403" s="61"/>
      <c r="D403" s="17">
        <v>63581</v>
      </c>
      <c r="E403" s="16"/>
      <c r="F403" s="16"/>
      <c r="G403" s="16"/>
      <c r="H403" s="16">
        <f t="shared" si="332"/>
        <v>32042935</v>
      </c>
      <c r="I403" s="16"/>
      <c r="J403" s="436">
        <f t="shared" si="333"/>
        <v>1.9881890046934657E-3</v>
      </c>
      <c r="K403" s="16"/>
      <c r="L403" s="16"/>
      <c r="M403" s="16"/>
      <c r="N403" s="16">
        <f t="shared" si="334"/>
        <v>480388</v>
      </c>
      <c r="O403" s="16">
        <f t="shared" si="335"/>
        <v>81327.246192893406</v>
      </c>
      <c r="P403" s="41"/>
      <c r="Q403" s="17">
        <f t="shared" si="336"/>
        <v>480388</v>
      </c>
      <c r="R403" s="16"/>
      <c r="S403" s="60">
        <f t="shared" si="337"/>
        <v>3.442276303719622E-2</v>
      </c>
      <c r="T403" s="16"/>
      <c r="U403" s="41"/>
      <c r="V403" s="10">
        <f t="shared" si="356"/>
        <v>295</v>
      </c>
      <c r="W403" s="34">
        <v>738</v>
      </c>
      <c r="X403" s="33">
        <v>4256</v>
      </c>
      <c r="Y403" s="33"/>
      <c r="Z403" s="33">
        <f t="shared" si="338"/>
        <v>4714</v>
      </c>
      <c r="AA403" s="33">
        <f t="shared" si="339"/>
        <v>569435</v>
      </c>
      <c r="AB403" s="33"/>
      <c r="AC403" s="46">
        <f t="shared" si="340"/>
        <v>1.7771000066005189E-2</v>
      </c>
      <c r="AD403" s="33"/>
      <c r="AE403" s="33">
        <f t="shared" si="341"/>
        <v>1445.266497461929</v>
      </c>
      <c r="AF403" s="50"/>
      <c r="AG403" s="33">
        <f t="shared" si="342"/>
        <v>4990</v>
      </c>
      <c r="AH403" s="33">
        <f t="shared" si="315"/>
        <v>1123348944.060914</v>
      </c>
      <c r="AI403" s="213">
        <f t="shared" si="343"/>
        <v>-5.0066628593184843E-2</v>
      </c>
      <c r="AJ403" s="50"/>
      <c r="AK403" s="111"/>
      <c r="AL403" s="23">
        <f t="shared" si="344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45"/>
        <v>2.7840424941235949E-3</v>
      </c>
      <c r="AS403" s="25"/>
      <c r="AT403" s="25"/>
      <c r="AU403" s="24"/>
      <c r="AV403" s="298">
        <f t="shared" si="346"/>
        <v>0.77724877574416951</v>
      </c>
      <c r="AW403" s="298"/>
      <c r="AX403" s="24">
        <f t="shared" si="347"/>
        <v>63211.502538071065</v>
      </c>
      <c r="AY403" s="308"/>
      <c r="AZ403" s="111"/>
      <c r="BA403" s="65">
        <f t="shared" si="348"/>
        <v>1569235</v>
      </c>
      <c r="BB403" s="66"/>
      <c r="BC403" s="66">
        <v>428131841</v>
      </c>
      <c r="BD403" s="66"/>
      <c r="BE403" s="66">
        <f t="shared" si="349"/>
        <v>63581</v>
      </c>
      <c r="BF403" s="66"/>
      <c r="BG403" s="144">
        <f t="shared" si="350"/>
        <v>4.051719468403394E-2</v>
      </c>
      <c r="BH403" s="66"/>
      <c r="BI403" s="170"/>
      <c r="BJ403" s="66"/>
      <c r="BK403" s="66">
        <f t="shared" si="351"/>
        <v>9901210</v>
      </c>
      <c r="BL403" s="66"/>
      <c r="BM403" s="144">
        <f t="shared" si="352"/>
        <v>4.8518110412767733E-2</v>
      </c>
      <c r="BN403" s="65">
        <f t="shared" si="353"/>
        <v>1086629.0380710659</v>
      </c>
      <c r="BO403" s="66"/>
      <c r="BP403" s="66">
        <f t="shared" si="354"/>
        <v>31135957</v>
      </c>
      <c r="BQ403" s="66"/>
      <c r="BR403" s="435">
        <f t="shared" si="355"/>
        <v>7.27251608459554E-2</v>
      </c>
      <c r="BS403" s="66"/>
      <c r="BT403" s="75"/>
      <c r="BU403" s="170"/>
      <c r="BV403" s="1"/>
      <c r="BW403" s="61">
        <f t="shared" si="189"/>
        <v>394</v>
      </c>
    </row>
    <row r="404" spans="2:75" x14ac:dyDescent="0.3">
      <c r="B404" s="347">
        <f t="shared" si="163"/>
        <v>44304</v>
      </c>
      <c r="C404" s="61"/>
      <c r="D404" s="17">
        <v>43181</v>
      </c>
      <c r="E404" s="16"/>
      <c r="F404" s="16"/>
      <c r="G404" s="16"/>
      <c r="H404" s="16">
        <f t="shared" si="332"/>
        <v>32086116</v>
      </c>
      <c r="I404" s="16"/>
      <c r="J404" s="436">
        <f t="shared" si="333"/>
        <v>1.3475981522916051E-3</v>
      </c>
      <c r="K404" s="16"/>
      <c r="L404" s="16"/>
      <c r="M404" s="16"/>
      <c r="N404" s="577">
        <f t="shared" si="334"/>
        <v>475695</v>
      </c>
      <c r="O404" s="16">
        <f t="shared" si="335"/>
        <v>81230.673417721526</v>
      </c>
      <c r="P404" s="41"/>
      <c r="Q404" s="17">
        <f t="shared" si="336"/>
        <v>475695</v>
      </c>
      <c r="R404" s="16"/>
      <c r="S404" s="60">
        <f t="shared" si="337"/>
        <v>8.4579406808011053E-4</v>
      </c>
      <c r="T404" s="16"/>
      <c r="U404" s="41"/>
      <c r="V404" s="10">
        <f t="shared" si="356"/>
        <v>296</v>
      </c>
      <c r="W404" s="34">
        <v>310</v>
      </c>
      <c r="X404" s="33">
        <v>4256</v>
      </c>
      <c r="Y404" s="33"/>
      <c r="Z404" s="33">
        <f t="shared" si="338"/>
        <v>4564</v>
      </c>
      <c r="AA404" s="33">
        <f t="shared" si="339"/>
        <v>569745</v>
      </c>
      <c r="AB404" s="33"/>
      <c r="AC404" s="46">
        <f t="shared" si="340"/>
        <v>1.7756745627922059E-2</v>
      </c>
      <c r="AD404" s="33"/>
      <c r="AE404" s="33">
        <f t="shared" si="341"/>
        <v>1442.3924050632911</v>
      </c>
      <c r="AF404" s="50"/>
      <c r="AG404" s="33">
        <f t="shared" si="342"/>
        <v>5024</v>
      </c>
      <c r="AH404" s="33">
        <f t="shared" si="315"/>
        <v>1123282531.060914</v>
      </c>
      <c r="AI404" s="213">
        <f t="shared" si="343"/>
        <v>-4.4685301388096593E-2</v>
      </c>
      <c r="AJ404" s="50"/>
      <c r="AK404" s="111"/>
      <c r="AL404" s="23">
        <f t="shared" si="344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45"/>
        <v>2.2443788342191144E-3</v>
      </c>
      <c r="AS404" s="25"/>
      <c r="AT404" s="25"/>
      <c r="AU404" s="24"/>
      <c r="AV404" s="298">
        <f t="shared" si="346"/>
        <v>0.77794485939027336</v>
      </c>
      <c r="AW404" s="298"/>
      <c r="AX404" s="24">
        <f t="shared" si="347"/>
        <v>63192.984810126582</v>
      </c>
      <c r="AY404" s="308"/>
      <c r="AZ404" s="111"/>
      <c r="BA404" s="65">
        <f t="shared" si="348"/>
        <v>1088878</v>
      </c>
      <c r="BB404" s="66"/>
      <c r="BC404" s="66">
        <v>429220719</v>
      </c>
      <c r="BD404" s="66"/>
      <c r="BE404" s="66">
        <f t="shared" si="349"/>
        <v>43181</v>
      </c>
      <c r="BF404" s="66"/>
      <c r="BG404" s="144">
        <f t="shared" si="350"/>
        <v>3.9656416972332992E-2</v>
      </c>
      <c r="BH404" s="66"/>
      <c r="BI404" s="170"/>
      <c r="BJ404" s="66"/>
      <c r="BK404" s="66">
        <f t="shared" si="351"/>
        <v>9833215</v>
      </c>
      <c r="BL404" s="66"/>
      <c r="BM404" s="144">
        <f t="shared" si="352"/>
        <v>4.8376344867878916E-2</v>
      </c>
      <c r="BN404" s="65">
        <f t="shared" si="353"/>
        <v>1086634.7316455697</v>
      </c>
      <c r="BO404" s="66"/>
      <c r="BP404" s="66">
        <f t="shared" si="354"/>
        <v>31179138</v>
      </c>
      <c r="BQ404" s="66"/>
      <c r="BR404" s="435">
        <f t="shared" si="355"/>
        <v>7.2641269677384795E-2</v>
      </c>
      <c r="BS404" s="66"/>
      <c r="BT404" s="75"/>
      <c r="BU404" s="170"/>
      <c r="BV404" s="1"/>
      <c r="BW404" s="61">
        <f t="shared" si="189"/>
        <v>395</v>
      </c>
    </row>
    <row r="405" spans="2:75" x14ac:dyDescent="0.3">
      <c r="B405" s="158">
        <f t="shared" si="163"/>
        <v>44305</v>
      </c>
      <c r="C405" s="61"/>
      <c r="D405" s="17">
        <v>51650</v>
      </c>
      <c r="E405" s="16"/>
      <c r="F405" s="16"/>
      <c r="G405" s="16"/>
      <c r="H405" s="16">
        <f t="shared" si="332"/>
        <v>32137766</v>
      </c>
      <c r="I405" s="16"/>
      <c r="J405" s="436">
        <f t="shared" si="333"/>
        <v>1.6097305139705909E-3</v>
      </c>
      <c r="K405" s="16"/>
      <c r="L405" s="16"/>
      <c r="M405" s="16"/>
      <c r="N405" s="16">
        <f t="shared" si="334"/>
        <v>470823</v>
      </c>
      <c r="O405" s="16">
        <f t="shared" si="335"/>
        <v>81155.974747474742</v>
      </c>
      <c r="P405" s="41"/>
      <c r="Q405" s="17">
        <f t="shared" si="336"/>
        <v>470823</v>
      </c>
      <c r="R405" s="16"/>
      <c r="S405" s="60">
        <f t="shared" si="337"/>
        <v>-7.0607439088430125E-3</v>
      </c>
      <c r="T405" s="16"/>
      <c r="U405" s="41"/>
      <c r="V405" s="10">
        <f t="shared" si="356"/>
        <v>297</v>
      </c>
      <c r="W405" s="34">
        <v>488</v>
      </c>
      <c r="X405" s="33">
        <v>4256</v>
      </c>
      <c r="Y405" s="33"/>
      <c r="Z405" s="33">
        <f t="shared" si="338"/>
        <v>4233</v>
      </c>
      <c r="AA405" s="33">
        <f t="shared" si="339"/>
        <v>570233</v>
      </c>
      <c r="AB405" s="33"/>
      <c r="AC405" s="46">
        <f t="shared" si="340"/>
        <v>1.7743392617893851E-2</v>
      </c>
      <c r="AD405" s="33"/>
      <c r="AE405" s="33">
        <f t="shared" si="341"/>
        <v>1439.9823232323233</v>
      </c>
      <c r="AF405" s="50"/>
      <c r="AG405" s="33">
        <f t="shared" si="342"/>
        <v>5052</v>
      </c>
      <c r="AH405" s="33">
        <f t="shared" si="315"/>
        <v>1123226623.060914</v>
      </c>
      <c r="AI405" s="213">
        <f t="shared" si="343"/>
        <v>-2.7526467757459094E-2</v>
      </c>
      <c r="AJ405" s="50"/>
      <c r="AK405" s="111"/>
      <c r="AL405" s="23">
        <f t="shared" si="344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45"/>
        <v>3.2944691946057625E-3</v>
      </c>
      <c r="AS405" s="25"/>
      <c r="AT405" s="25"/>
      <c r="AU405" s="24"/>
      <c r="AV405" s="298">
        <f t="shared" si="346"/>
        <v>0.77925338680977385</v>
      </c>
      <c r="AW405" s="298"/>
      <c r="AX405" s="24">
        <f t="shared" si="347"/>
        <v>63241.068181818184</v>
      </c>
      <c r="AY405" s="308"/>
      <c r="AZ405" s="111"/>
      <c r="BA405" s="65">
        <f t="shared" si="348"/>
        <v>1665900</v>
      </c>
      <c r="BB405" s="66"/>
      <c r="BC405" s="66">
        <v>430886619</v>
      </c>
      <c r="BD405" s="66"/>
      <c r="BE405" s="66">
        <f t="shared" si="349"/>
        <v>51650</v>
      </c>
      <c r="BF405" s="66"/>
      <c r="BG405" s="144">
        <f t="shared" si="350"/>
        <v>3.1004261960501833E-2</v>
      </c>
      <c r="BH405" s="66"/>
      <c r="BI405" s="170"/>
      <c r="BJ405" s="66"/>
      <c r="BK405" s="66">
        <f t="shared" si="351"/>
        <v>10063920</v>
      </c>
      <c r="BL405" s="66"/>
      <c r="BM405" s="144">
        <f t="shared" si="352"/>
        <v>4.6783261393174826E-2</v>
      </c>
      <c r="BN405" s="65">
        <f t="shared" si="353"/>
        <v>1088097.5227272727</v>
      </c>
      <c r="BO405" s="66"/>
      <c r="BP405" s="66">
        <f t="shared" si="354"/>
        <v>31230788</v>
      </c>
      <c r="BQ405" s="66"/>
      <c r="BR405" s="435">
        <f t="shared" si="355"/>
        <v>7.2480292083519082E-2</v>
      </c>
      <c r="BS405" s="66"/>
      <c r="BT405" s="75"/>
      <c r="BU405" s="170"/>
      <c r="BV405" s="1"/>
      <c r="BW405" s="61">
        <f t="shared" si="189"/>
        <v>396</v>
      </c>
    </row>
    <row r="406" spans="2:75" x14ac:dyDescent="0.3">
      <c r="B406" s="158">
        <f t="shared" si="163"/>
        <v>44306</v>
      </c>
      <c r="C406" s="61"/>
      <c r="D406" s="17">
        <v>60317</v>
      </c>
      <c r="E406" s="16"/>
      <c r="F406" s="16"/>
      <c r="G406" s="16"/>
      <c r="H406" s="16">
        <f t="shared" si="332"/>
        <v>32198083</v>
      </c>
      <c r="I406" s="16"/>
      <c r="J406" s="436">
        <f t="shared" si="333"/>
        <v>1.8768261614699666E-3</v>
      </c>
      <c r="K406" s="16"/>
      <c r="L406" s="16"/>
      <c r="M406" s="16"/>
      <c r="N406" s="16">
        <f t="shared" si="334"/>
        <v>453420</v>
      </c>
      <c r="O406" s="16">
        <f t="shared" si="335"/>
        <v>81103.483627204027</v>
      </c>
      <c r="P406" s="41"/>
      <c r="Q406" s="17">
        <f t="shared" si="336"/>
        <v>453420</v>
      </c>
      <c r="R406" s="16"/>
      <c r="S406" s="60">
        <f t="shared" si="337"/>
        <v>-7.3912190977271613E-2</v>
      </c>
      <c r="T406" s="16"/>
      <c r="U406" s="41"/>
      <c r="V406" s="10">
        <f t="shared" si="356"/>
        <v>298</v>
      </c>
      <c r="W406" s="34">
        <v>883</v>
      </c>
      <c r="X406" s="33">
        <v>4256</v>
      </c>
      <c r="Y406" s="33"/>
      <c r="Z406" s="33">
        <f t="shared" si="338"/>
        <v>4201</v>
      </c>
      <c r="AA406" s="33">
        <f t="shared" si="339"/>
        <v>571116</v>
      </c>
      <c r="AB406" s="33"/>
      <c r="AC406" s="46">
        <f t="shared" si="340"/>
        <v>1.7737577730947522E-2</v>
      </c>
      <c r="AD406" s="33"/>
      <c r="AE406" s="33">
        <f t="shared" si="341"/>
        <v>1438.5793450881613</v>
      </c>
      <c r="AF406" s="50"/>
      <c r="AG406" s="33">
        <f t="shared" si="342"/>
        <v>5116</v>
      </c>
      <c r="AH406" s="33">
        <f t="shared" si="315"/>
        <v>1123187118.060914</v>
      </c>
      <c r="AI406" s="213">
        <f t="shared" si="343"/>
        <v>1.5661707126076742E-3</v>
      </c>
      <c r="AJ406" s="50"/>
      <c r="AK406" s="111"/>
      <c r="AL406" s="23">
        <f t="shared" si="344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45"/>
        <v>2.4785709548236202E-3</v>
      </c>
      <c r="AS406" s="25"/>
      <c r="AT406" s="25"/>
      <c r="AU406" s="24"/>
      <c r="AV406" s="298">
        <f t="shared" si="346"/>
        <v>0.7797214200609397</v>
      </c>
      <c r="AW406" s="298"/>
      <c r="AX406" s="24">
        <f t="shared" si="347"/>
        <v>63238.123425692698</v>
      </c>
      <c r="AY406" s="308"/>
      <c r="AZ406" s="111"/>
      <c r="BA406" s="65">
        <f t="shared" si="348"/>
        <v>1055104</v>
      </c>
      <c r="BB406" s="66"/>
      <c r="BC406" s="66">
        <v>431941723</v>
      </c>
      <c r="BD406" s="66"/>
      <c r="BE406" s="66">
        <f t="shared" si="349"/>
        <v>60317</v>
      </c>
      <c r="BF406" s="66"/>
      <c r="BG406" s="144">
        <f t="shared" si="350"/>
        <v>5.7166876440616278E-2</v>
      </c>
      <c r="BH406" s="66"/>
      <c r="BI406" s="170"/>
      <c r="BJ406" s="66"/>
      <c r="BK406" s="66">
        <f t="shared" si="351"/>
        <v>9814962</v>
      </c>
      <c r="BL406" s="66"/>
      <c r="BM406" s="144">
        <f t="shared" si="352"/>
        <v>4.6196816656040036E-2</v>
      </c>
      <c r="BN406" s="65">
        <f t="shared" si="353"/>
        <v>1088014.4156171284</v>
      </c>
      <c r="BO406" s="66"/>
      <c r="BP406" s="66">
        <f t="shared" si="354"/>
        <v>31291105</v>
      </c>
      <c r="BQ406" s="66"/>
      <c r="BR406" s="435">
        <f t="shared" si="355"/>
        <v>7.244288600478635E-2</v>
      </c>
      <c r="BS406" s="66"/>
      <c r="BT406" s="75"/>
      <c r="BU406" s="170"/>
      <c r="BV406" s="1"/>
      <c r="BW406" s="61">
        <f t="shared" si="189"/>
        <v>397</v>
      </c>
    </row>
    <row r="407" spans="2:75" x14ac:dyDescent="0.3">
      <c r="B407" s="158">
        <f t="shared" si="163"/>
        <v>44307</v>
      </c>
      <c r="C407" s="61"/>
      <c r="D407" s="17">
        <v>65057</v>
      </c>
      <c r="E407" s="16"/>
      <c r="F407" s="16"/>
      <c r="G407" s="16"/>
      <c r="H407" s="16">
        <f t="shared" si="332"/>
        <v>32263140</v>
      </c>
      <c r="I407" s="16"/>
      <c r="J407" s="436">
        <f t="shared" si="333"/>
        <v>2.020524016911193E-3</v>
      </c>
      <c r="K407" s="16"/>
      <c r="L407" s="16"/>
      <c r="M407" s="16"/>
      <c r="N407" s="16">
        <f t="shared" si="334"/>
        <v>440038</v>
      </c>
      <c r="O407" s="16">
        <f t="shared" si="335"/>
        <v>81063.165829145728</v>
      </c>
      <c r="P407" s="41"/>
      <c r="Q407" s="17">
        <f t="shared" si="336"/>
        <v>440038</v>
      </c>
      <c r="R407" s="16"/>
      <c r="S407" s="60">
        <f t="shared" si="337"/>
        <v>-0.10718169718218414</v>
      </c>
      <c r="T407" s="16"/>
      <c r="U407" s="41"/>
      <c r="V407" s="10">
        <f t="shared" si="356"/>
        <v>299</v>
      </c>
      <c r="W407" s="34">
        <v>876</v>
      </c>
      <c r="X407" s="33">
        <v>4256</v>
      </c>
      <c r="Y407" s="33"/>
      <c r="Z407" s="33">
        <f t="shared" si="338"/>
        <v>4182</v>
      </c>
      <c r="AA407" s="33">
        <f t="shared" si="339"/>
        <v>571992</v>
      </c>
      <c r="AB407" s="33"/>
      <c r="AC407" s="46">
        <f t="shared" si="340"/>
        <v>1.772896252503631E-2</v>
      </c>
      <c r="AD407" s="33"/>
      <c r="AE407" s="33">
        <f t="shared" si="341"/>
        <v>1437.1658291457286</v>
      </c>
      <c r="AF407" s="50"/>
      <c r="AG407" s="33">
        <f t="shared" si="342"/>
        <v>5077</v>
      </c>
      <c r="AH407" s="33">
        <f t="shared" si="315"/>
        <v>1123141370.060914</v>
      </c>
      <c r="AI407" s="213">
        <f t="shared" si="343"/>
        <v>-1.4174757281553398E-2</v>
      </c>
      <c r="AJ407" s="50"/>
      <c r="AK407" s="111"/>
      <c r="AL407" s="23">
        <f t="shared" si="344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45"/>
        <v>2.8638704572517574E-3</v>
      </c>
      <c r="AS407" s="25"/>
      <c r="AT407" s="25"/>
      <c r="AU407" s="24"/>
      <c r="AV407" s="298">
        <f t="shared" si="346"/>
        <v>0.78037766937750019</v>
      </c>
      <c r="AW407" s="298"/>
      <c r="AX407" s="24">
        <f t="shared" si="347"/>
        <v>63259.884422110554</v>
      </c>
      <c r="AY407" s="308"/>
      <c r="AZ407" s="111"/>
      <c r="BA407" s="65">
        <f t="shared" si="348"/>
        <v>1497923</v>
      </c>
      <c r="BB407" s="66"/>
      <c r="BC407" s="66">
        <v>433439646</v>
      </c>
      <c r="BD407" s="66"/>
      <c r="BE407" s="66">
        <f t="shared" si="349"/>
        <v>65057</v>
      </c>
      <c r="BF407" s="66"/>
      <c r="BG407" s="144">
        <f t="shared" si="350"/>
        <v>4.3431471444126298E-2</v>
      </c>
      <c r="BH407" s="66"/>
      <c r="BI407" s="170"/>
      <c r="BJ407" s="66"/>
      <c r="BK407" s="66">
        <f t="shared" si="351"/>
        <v>10000267</v>
      </c>
      <c r="BL407" s="66"/>
      <c r="BM407" s="144">
        <f t="shared" si="352"/>
        <v>4.4002625129909032E-2</v>
      </c>
      <c r="BN407" s="65">
        <f t="shared" si="353"/>
        <v>1089044.336683417</v>
      </c>
      <c r="BO407" s="66"/>
      <c r="BP407" s="66">
        <f t="shared" si="354"/>
        <v>31356162</v>
      </c>
      <c r="BQ407" s="66"/>
      <c r="BR407" s="435">
        <f t="shared" si="355"/>
        <v>7.2342625528999255E-2</v>
      </c>
      <c r="BS407" s="66"/>
      <c r="BT407" s="75"/>
      <c r="BU407" s="170"/>
      <c r="BV407" s="1"/>
      <c r="BW407" s="61">
        <f t="shared" si="189"/>
        <v>398</v>
      </c>
    </row>
    <row r="408" spans="2:75" x14ac:dyDescent="0.3">
      <c r="B408" s="158">
        <f t="shared" si="163"/>
        <v>44308</v>
      </c>
      <c r="C408" s="61"/>
      <c r="D408" s="17">
        <v>67070</v>
      </c>
      <c r="E408" s="16"/>
      <c r="F408" s="16"/>
      <c r="G408" s="16"/>
      <c r="H408" s="16">
        <f t="shared" si="332"/>
        <v>32330210</v>
      </c>
      <c r="I408" s="16"/>
      <c r="J408" s="436">
        <f t="shared" si="333"/>
        <v>2.0788429148557767E-3</v>
      </c>
      <c r="K408" s="16"/>
      <c r="L408" s="16"/>
      <c r="M408" s="16"/>
      <c r="N408" s="16">
        <f t="shared" si="334"/>
        <v>432629</v>
      </c>
      <c r="O408" s="16">
        <f t="shared" si="335"/>
        <v>81028.095238095237</v>
      </c>
      <c r="P408" s="41"/>
      <c r="Q408" s="17">
        <f t="shared" si="336"/>
        <v>432629</v>
      </c>
      <c r="R408" s="16"/>
      <c r="S408" s="60">
        <f t="shared" si="337"/>
        <v>-0.11197663296262998</v>
      </c>
      <c r="T408" s="16"/>
      <c r="U408" s="41"/>
      <c r="V408" s="10">
        <f t="shared" si="356"/>
        <v>300</v>
      </c>
      <c r="W408" s="34">
        <v>896</v>
      </c>
      <c r="X408" s="33">
        <v>4256</v>
      </c>
      <c r="Y408" s="33"/>
      <c r="Z408" s="33">
        <f t="shared" si="338"/>
        <v>4191</v>
      </c>
      <c r="AA408" s="33">
        <f t="shared" si="339"/>
        <v>572888</v>
      </c>
      <c r="AB408" s="33"/>
      <c r="AC408" s="46">
        <f t="shared" si="340"/>
        <v>1.7719897272550966E-2</v>
      </c>
      <c r="AD408" s="33"/>
      <c r="AE408" s="33">
        <f t="shared" si="341"/>
        <v>1435.8095238095239</v>
      </c>
      <c r="AF408" s="50"/>
      <c r="AG408" s="33">
        <f t="shared" si="342"/>
        <v>5078</v>
      </c>
      <c r="AH408" s="33">
        <f t="shared" si="315"/>
        <v>1123082665.060914</v>
      </c>
      <c r="AI408" s="213">
        <f t="shared" si="343"/>
        <v>8.339952343129467E-3</v>
      </c>
      <c r="AJ408" s="50"/>
      <c r="AK408" s="111"/>
      <c r="AL408" s="23">
        <f t="shared" si="344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45"/>
        <v>2.3522651275741601E-3</v>
      </c>
      <c r="AS408" s="25"/>
      <c r="AT408" s="25"/>
      <c r="AU408" s="24"/>
      <c r="AV408" s="298">
        <f t="shared" si="346"/>
        <v>0.78059059931871766</v>
      </c>
      <c r="AW408" s="298"/>
      <c r="AX408" s="24">
        <f t="shared" si="347"/>
        <v>63249.769423558901</v>
      </c>
      <c r="AY408" s="308"/>
      <c r="AZ408" s="111"/>
      <c r="BA408" s="65">
        <f t="shared" si="348"/>
        <v>1998966</v>
      </c>
      <c r="BB408" s="66"/>
      <c r="BC408" s="66">
        <v>435438612</v>
      </c>
      <c r="BD408" s="66"/>
      <c r="BE408" s="66">
        <f t="shared" si="349"/>
        <v>67070</v>
      </c>
      <c r="BF408" s="66"/>
      <c r="BG408" s="144">
        <f t="shared" si="350"/>
        <v>3.3552346563173158E-2</v>
      </c>
      <c r="BH408" s="66"/>
      <c r="BI408" s="170"/>
      <c r="BJ408" s="66"/>
      <c r="BK408" s="66">
        <f t="shared" si="351"/>
        <v>10535280</v>
      </c>
      <c r="BL408" s="66"/>
      <c r="BM408" s="144">
        <f t="shared" si="352"/>
        <v>4.1064784229749948E-2</v>
      </c>
      <c r="BN408" s="65">
        <f t="shared" si="353"/>
        <v>1091324.8421052631</v>
      </c>
      <c r="BO408" s="66"/>
      <c r="BP408" s="66">
        <f t="shared" si="354"/>
        <v>31423232</v>
      </c>
      <c r="BQ408" s="66"/>
      <c r="BR408" s="435">
        <f t="shared" si="355"/>
        <v>7.2164551176733954E-2</v>
      </c>
      <c r="BS408" s="66"/>
      <c r="BT408" s="75"/>
      <c r="BU408" s="170"/>
      <c r="BV408" s="1"/>
      <c r="BW408" s="61">
        <f t="shared" si="189"/>
        <v>399</v>
      </c>
    </row>
    <row r="409" spans="2:75" x14ac:dyDescent="0.3">
      <c r="B409" s="158">
        <f t="shared" si="163"/>
        <v>44309</v>
      </c>
      <c r="C409" s="61"/>
      <c r="D409" s="17">
        <v>66515</v>
      </c>
      <c r="E409" s="16"/>
      <c r="F409" s="16"/>
      <c r="G409" s="16"/>
      <c r="H409" s="16">
        <f t="shared" si="332"/>
        <v>32396725</v>
      </c>
      <c r="I409" s="16"/>
      <c r="J409" s="436">
        <f t="shared" si="333"/>
        <v>2.0573636855436448E-3</v>
      </c>
      <c r="K409" s="16"/>
      <c r="L409" s="16"/>
      <c r="M409" s="16"/>
      <c r="N409" s="16">
        <f t="shared" si="334"/>
        <v>417371</v>
      </c>
      <c r="O409" s="16">
        <f t="shared" si="335"/>
        <v>80991.8125</v>
      </c>
      <c r="P409" s="41"/>
      <c r="Q409" s="17">
        <f t="shared" si="336"/>
        <v>417371</v>
      </c>
      <c r="R409" s="16"/>
      <c r="S409" s="60">
        <f t="shared" si="337"/>
        <v>-0.13692675774989815</v>
      </c>
      <c r="T409" s="16"/>
      <c r="U409" s="41"/>
      <c r="V409" s="10">
        <f t="shared" si="356"/>
        <v>301</v>
      </c>
      <c r="W409" s="34">
        <v>790</v>
      </c>
      <c r="X409" s="33">
        <v>4256</v>
      </c>
      <c r="Y409" s="33"/>
      <c r="Z409" s="33">
        <f t="shared" si="338"/>
        <v>4243</v>
      </c>
      <c r="AA409" s="33">
        <f t="shared" si="339"/>
        <v>573678</v>
      </c>
      <c r="AB409" s="33"/>
      <c r="AC409" s="46">
        <f t="shared" si="340"/>
        <v>1.7707901030119558E-2</v>
      </c>
      <c r="AD409" s="33"/>
      <c r="AE409" s="33">
        <f t="shared" si="341"/>
        <v>1434.1949999999999</v>
      </c>
      <c r="AF409" s="50"/>
      <c r="AG409" s="33">
        <f t="shared" si="342"/>
        <v>4981</v>
      </c>
      <c r="AH409" s="33">
        <f t="shared" si="315"/>
        <v>1123016127.060914</v>
      </c>
      <c r="AI409" s="213">
        <f t="shared" si="343"/>
        <v>-2.603123748498198E-3</v>
      </c>
      <c r="AJ409" s="50"/>
      <c r="AK409" s="111"/>
      <c r="AL409" s="23">
        <f t="shared" si="344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45"/>
        <v>2.3532830694143417E-3</v>
      </c>
      <c r="AS409" s="25"/>
      <c r="AT409" s="25"/>
      <c r="AU409" s="24"/>
      <c r="AV409" s="298">
        <f t="shared" si="346"/>
        <v>0.78082111694932121</v>
      </c>
      <c r="AW409" s="298"/>
      <c r="AX409" s="24">
        <f t="shared" si="347"/>
        <v>63240.1175</v>
      </c>
      <c r="AY409" s="308"/>
      <c r="AZ409" s="111"/>
      <c r="BA409" s="65">
        <f t="shared" si="348"/>
        <v>1629469</v>
      </c>
      <c r="BB409" s="66"/>
      <c r="BC409" s="66">
        <v>437068081</v>
      </c>
      <c r="BD409" s="66"/>
      <c r="BE409" s="66">
        <f t="shared" si="349"/>
        <v>66515</v>
      </c>
      <c r="BF409" s="66"/>
      <c r="BG409" s="144">
        <f t="shared" si="350"/>
        <v>4.0820046285016773E-2</v>
      </c>
      <c r="BH409" s="66"/>
      <c r="BI409" s="170"/>
      <c r="BJ409" s="66"/>
      <c r="BK409" s="66">
        <f t="shared" si="351"/>
        <v>10505475</v>
      </c>
      <c r="BL409" s="66"/>
      <c r="BM409" s="144">
        <f t="shared" si="352"/>
        <v>3.9728903262346536E-2</v>
      </c>
      <c r="BN409" s="65">
        <f t="shared" si="353"/>
        <v>1092670.2024999999</v>
      </c>
      <c r="BO409" s="66"/>
      <c r="BP409" s="66">
        <f t="shared" si="354"/>
        <v>31489747</v>
      </c>
      <c r="BQ409" s="66"/>
      <c r="BR409" s="435">
        <f t="shared" si="355"/>
        <v>7.204769318306728E-2</v>
      </c>
      <c r="BS409" s="66"/>
      <c r="BT409" s="75"/>
      <c r="BU409" s="170"/>
      <c r="BV409" s="1"/>
      <c r="BW409" s="61">
        <f t="shared" si="189"/>
        <v>400</v>
      </c>
    </row>
    <row r="410" spans="2:75" x14ac:dyDescent="0.3">
      <c r="B410" s="158">
        <f t="shared" si="163"/>
        <v>44310</v>
      </c>
      <c r="C410" s="61"/>
      <c r="D410" s="17">
        <v>53280</v>
      </c>
      <c r="E410" s="16"/>
      <c r="F410" s="16"/>
      <c r="G410" s="16"/>
      <c r="H410" s="16">
        <f t="shared" si="332"/>
        <v>32450005</v>
      </c>
      <c r="I410" s="16"/>
      <c r="J410" s="436">
        <f t="shared" si="333"/>
        <v>1.6446106820982678E-3</v>
      </c>
      <c r="K410" s="16"/>
      <c r="L410" s="16"/>
      <c r="M410" s="16"/>
      <c r="N410" s="16">
        <f t="shared" si="334"/>
        <v>407070</v>
      </c>
      <c r="O410" s="16">
        <f t="shared" si="335"/>
        <v>80922.705735660842</v>
      </c>
      <c r="P410" s="41"/>
      <c r="Q410" s="17">
        <f t="shared" si="336"/>
        <v>407070</v>
      </c>
      <c r="R410" s="16"/>
      <c r="S410" s="60">
        <f t="shared" si="337"/>
        <v>-0.15262246350866382</v>
      </c>
      <c r="T410" s="16"/>
      <c r="U410" s="41"/>
      <c r="V410" s="10">
        <f t="shared" si="356"/>
        <v>302</v>
      </c>
      <c r="W410" s="34">
        <v>742</v>
      </c>
      <c r="X410" s="33">
        <v>4256</v>
      </c>
      <c r="Y410" s="33"/>
      <c r="Z410" s="33">
        <f t="shared" si="338"/>
        <v>4675</v>
      </c>
      <c r="AA410" s="33">
        <f t="shared" si="339"/>
        <v>574420</v>
      </c>
      <c r="AB410" s="33"/>
      <c r="AC410" s="46">
        <f t="shared" si="340"/>
        <v>1.7701692187720771E-2</v>
      </c>
      <c r="AD410" s="33"/>
      <c r="AE410" s="33">
        <f t="shared" si="341"/>
        <v>1432.4688279301745</v>
      </c>
      <c r="AF410" s="50"/>
      <c r="AG410" s="33">
        <f t="shared" si="342"/>
        <v>4985</v>
      </c>
      <c r="AH410" s="33">
        <f t="shared" si="315"/>
        <v>1122949081.060914</v>
      </c>
      <c r="AI410" s="213">
        <f t="shared" si="343"/>
        <v>-1.002004008016032E-3</v>
      </c>
      <c r="AJ410" s="50"/>
      <c r="AK410" s="111"/>
      <c r="AL410" s="23">
        <f t="shared" si="344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45"/>
        <v>1.7325631945576318E-3</v>
      </c>
      <c r="AS410" s="25"/>
      <c r="AT410" s="25"/>
      <c r="AU410" s="24"/>
      <c r="AV410" s="298">
        <f t="shared" si="346"/>
        <v>0.7808896793698491</v>
      </c>
      <c r="AW410" s="298"/>
      <c r="AX410" s="24">
        <f t="shared" si="347"/>
        <v>63191.705735660849</v>
      </c>
      <c r="AY410" s="308"/>
      <c r="AZ410" s="111"/>
      <c r="BA410" s="65">
        <f t="shared" si="348"/>
        <v>1523347</v>
      </c>
      <c r="BB410" s="66"/>
      <c r="BC410" s="66">
        <v>438591428</v>
      </c>
      <c r="BD410" s="66"/>
      <c r="BE410" s="66">
        <f t="shared" si="349"/>
        <v>53280</v>
      </c>
      <c r="BF410" s="66"/>
      <c r="BG410" s="144">
        <f t="shared" si="350"/>
        <v>3.4975616192502432E-2</v>
      </c>
      <c r="BH410" s="66"/>
      <c r="BI410" s="170"/>
      <c r="BJ410" s="66"/>
      <c r="BK410" s="66">
        <f t="shared" si="351"/>
        <v>10459587</v>
      </c>
      <c r="BL410" s="66"/>
      <c r="BM410" s="144">
        <f t="shared" si="352"/>
        <v>3.8918362646632225E-2</v>
      </c>
      <c r="BN410" s="65">
        <f t="shared" si="353"/>
        <v>1093744.2094763091</v>
      </c>
      <c r="BO410" s="66"/>
      <c r="BP410" s="66">
        <f t="shared" si="354"/>
        <v>31543027</v>
      </c>
      <c r="BQ410" s="66"/>
      <c r="BR410" s="435">
        <f t="shared" si="355"/>
        <v>7.1918931803655772E-2</v>
      </c>
      <c r="BS410" s="66"/>
      <c r="BT410" s="75"/>
      <c r="BU410" s="170"/>
      <c r="BV410" s="1"/>
      <c r="BW410" s="61">
        <f t="shared" si="189"/>
        <v>401</v>
      </c>
    </row>
    <row r="411" spans="2:75" x14ac:dyDescent="0.3">
      <c r="B411" s="347">
        <f t="shared" si="163"/>
        <v>44311</v>
      </c>
      <c r="C411" s="61"/>
      <c r="D411" s="17">
        <v>34736</v>
      </c>
      <c r="E411" s="16"/>
      <c r="F411" s="16"/>
      <c r="G411" s="16"/>
      <c r="H411" s="16">
        <f t="shared" si="332"/>
        <v>32484741</v>
      </c>
      <c r="I411" s="16"/>
      <c r="J411" s="436">
        <f t="shared" si="333"/>
        <v>1.0704466763564442E-3</v>
      </c>
      <c r="K411" s="16"/>
      <c r="L411" s="16"/>
      <c r="M411" s="16"/>
      <c r="N411" s="577">
        <f t="shared" si="334"/>
        <v>398625</v>
      </c>
      <c r="O411" s="16">
        <f t="shared" si="335"/>
        <v>80807.813432835814</v>
      </c>
      <c r="P411" s="41"/>
      <c r="Q411" s="17">
        <f t="shared" si="336"/>
        <v>398625</v>
      </c>
      <c r="R411" s="16"/>
      <c r="S411" s="60">
        <f t="shared" si="337"/>
        <v>-0.16201557720808502</v>
      </c>
      <c r="T411" s="16"/>
      <c r="U411" s="41"/>
      <c r="V411" s="10">
        <f t="shared" si="356"/>
        <v>303</v>
      </c>
      <c r="W411" s="34">
        <v>273</v>
      </c>
      <c r="X411" s="33">
        <v>4256</v>
      </c>
      <c r="Y411" s="33"/>
      <c r="Z411" s="33">
        <f t="shared" si="338"/>
        <v>4460</v>
      </c>
      <c r="AA411" s="33">
        <f t="shared" si="339"/>
        <v>574693</v>
      </c>
      <c r="AB411" s="33"/>
      <c r="AC411" s="46">
        <f t="shared" si="340"/>
        <v>1.7691167677772159E-2</v>
      </c>
      <c r="AD411" s="33"/>
      <c r="AE411" s="33">
        <f t="shared" si="341"/>
        <v>1429.5845771144279</v>
      </c>
      <c r="AF411" s="50"/>
      <c r="AG411" s="33">
        <f t="shared" si="342"/>
        <v>4948</v>
      </c>
      <c r="AH411" s="33">
        <f t="shared" si="315"/>
        <v>1122872105.060914</v>
      </c>
      <c r="AI411" s="213">
        <f t="shared" si="343"/>
        <v>-1.5127388535031847E-2</v>
      </c>
      <c r="AJ411" s="50"/>
      <c r="AK411" s="111"/>
      <c r="AL411" s="23">
        <f t="shared" si="344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45"/>
        <v>1.5768428840648536E-3</v>
      </c>
      <c r="AS411" s="25"/>
      <c r="AT411" s="25"/>
      <c r="AU411" s="24"/>
      <c r="AV411" s="298">
        <f t="shared" si="346"/>
        <v>0.78128469609777706</v>
      </c>
      <c r="AW411" s="298"/>
      <c r="AX411" s="24">
        <f t="shared" si="347"/>
        <v>63133.907960199002</v>
      </c>
      <c r="AY411" s="308"/>
      <c r="AZ411" s="111"/>
      <c r="BA411" s="65">
        <f t="shared" si="348"/>
        <v>1052064</v>
      </c>
      <c r="BB411" s="66"/>
      <c r="BC411" s="66">
        <v>439643492</v>
      </c>
      <c r="BD411" s="66"/>
      <c r="BE411" s="66">
        <f t="shared" si="349"/>
        <v>34736</v>
      </c>
      <c r="BF411" s="66"/>
      <c r="BG411" s="144">
        <f t="shared" si="350"/>
        <v>3.3017002767892448E-2</v>
      </c>
      <c r="BH411" s="66"/>
      <c r="BI411" s="170"/>
      <c r="BJ411" s="66"/>
      <c r="BK411" s="66">
        <f t="shared" si="351"/>
        <v>10422773</v>
      </c>
      <c r="BL411" s="66"/>
      <c r="BM411" s="144">
        <f t="shared" si="352"/>
        <v>3.8245580134960246E-2</v>
      </c>
      <c r="BN411" s="65">
        <f t="shared" si="353"/>
        <v>1093640.5273631841</v>
      </c>
      <c r="BO411" s="66"/>
      <c r="BP411" s="66">
        <f t="shared" si="354"/>
        <v>31577763</v>
      </c>
      <c r="BQ411" s="66"/>
      <c r="BR411" s="435">
        <f t="shared" si="355"/>
        <v>7.1825839741988043E-2</v>
      </c>
      <c r="BS411" s="66"/>
      <c r="BT411" s="75"/>
      <c r="BU411" s="170"/>
      <c r="BV411" s="1"/>
      <c r="BW411" s="61">
        <f t="shared" si="189"/>
        <v>402</v>
      </c>
    </row>
    <row r="412" spans="2:75" x14ac:dyDescent="0.3">
      <c r="B412" s="158">
        <f t="shared" si="163"/>
        <v>44312</v>
      </c>
      <c r="C412" s="61"/>
      <c r="D412" s="17">
        <v>47456</v>
      </c>
      <c r="E412" s="16"/>
      <c r="F412" s="16"/>
      <c r="G412" s="16"/>
      <c r="H412" s="16">
        <f t="shared" si="332"/>
        <v>32532197</v>
      </c>
      <c r="I412" s="16"/>
      <c r="J412" s="436">
        <f t="shared" si="333"/>
        <v>1.4608705053243305E-3</v>
      </c>
      <c r="K412" s="16"/>
      <c r="L412" s="16"/>
      <c r="M412" s="16"/>
      <c r="N412" s="16">
        <f t="shared" si="334"/>
        <v>394431</v>
      </c>
      <c r="O412" s="16">
        <f t="shared" si="335"/>
        <v>80725.054590570726</v>
      </c>
      <c r="P412" s="41"/>
      <c r="Q412" s="17">
        <f t="shared" si="336"/>
        <v>394431</v>
      </c>
      <c r="R412" s="16"/>
      <c r="S412" s="60">
        <f t="shared" si="337"/>
        <v>-0.16225205650531091</v>
      </c>
      <c r="T412" s="16"/>
      <c r="U412" s="41"/>
      <c r="V412" s="10">
        <f t="shared" si="356"/>
        <v>304</v>
      </c>
      <c r="W412" s="34">
        <v>455</v>
      </c>
      <c r="X412" s="33">
        <v>4256</v>
      </c>
      <c r="Y412" s="33"/>
      <c r="Z412" s="33">
        <f t="shared" si="338"/>
        <v>4032</v>
      </c>
      <c r="AA412" s="33">
        <f t="shared" si="339"/>
        <v>575148</v>
      </c>
      <c r="AB412" s="33"/>
      <c r="AC412" s="46">
        <f t="shared" si="340"/>
        <v>1.7679347017356375E-2</v>
      </c>
      <c r="AD412" s="33"/>
      <c r="AE412" s="33">
        <f t="shared" si="341"/>
        <v>1427.1662531017371</v>
      </c>
      <c r="AF412" s="50"/>
      <c r="AG412" s="33">
        <f t="shared" si="342"/>
        <v>4915</v>
      </c>
      <c r="AH412" s="33">
        <f t="shared" si="315"/>
        <v>1122808446.060914</v>
      </c>
      <c r="AI412" s="213">
        <f t="shared" si="343"/>
        <v>-2.7117973079968331E-2</v>
      </c>
      <c r="AJ412" s="50"/>
      <c r="AK412" s="111"/>
      <c r="AL412" s="23">
        <f t="shared" si="344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45"/>
        <v>3.7808762398772473E-3</v>
      </c>
      <c r="AS412" s="25"/>
      <c r="AT412" s="25"/>
      <c r="AU412" s="24"/>
      <c r="AV412" s="298">
        <f t="shared" si="346"/>
        <v>0.78309463698378567</v>
      </c>
      <c r="AW412" s="298"/>
      <c r="AX412" s="24">
        <f t="shared" si="347"/>
        <v>63215.357320099254</v>
      </c>
      <c r="AY412" s="308"/>
      <c r="AZ412" s="111"/>
      <c r="BA412" s="65">
        <f t="shared" si="348"/>
        <v>1545353</v>
      </c>
      <c r="BB412" s="66"/>
      <c r="BC412" s="66">
        <v>441188845</v>
      </c>
      <c r="BD412" s="66"/>
      <c r="BE412" s="66">
        <f t="shared" si="349"/>
        <v>47456</v>
      </c>
      <c r="BF412" s="66"/>
      <c r="BG412" s="144">
        <f t="shared" si="350"/>
        <v>3.0708841280924163E-2</v>
      </c>
      <c r="BH412" s="66"/>
      <c r="BI412" s="170"/>
      <c r="BJ412" s="66"/>
      <c r="BK412" s="66">
        <f t="shared" si="351"/>
        <v>10302226</v>
      </c>
      <c r="BL412" s="66"/>
      <c r="BM412" s="144">
        <f t="shared" si="352"/>
        <v>3.8285997608672143E-2</v>
      </c>
      <c r="BN412" s="65">
        <f t="shared" si="353"/>
        <v>1094761.4019851116</v>
      </c>
      <c r="BO412" s="66"/>
      <c r="BP412" s="66">
        <f t="shared" si="354"/>
        <v>31625219</v>
      </c>
      <c r="BQ412" s="66"/>
      <c r="BR412" s="435">
        <f t="shared" si="355"/>
        <v>7.1681819153881832E-2</v>
      </c>
      <c r="BS412" s="66"/>
      <c r="BT412" s="75"/>
      <c r="BU412" s="170"/>
      <c r="BV412" s="1"/>
      <c r="BW412" s="61">
        <f t="shared" si="189"/>
        <v>403</v>
      </c>
    </row>
    <row r="413" spans="2:75" x14ac:dyDescent="0.3">
      <c r="B413" s="158">
        <f t="shared" si="163"/>
        <v>44313</v>
      </c>
      <c r="C413" s="61"/>
      <c r="D413" s="17">
        <v>52046</v>
      </c>
      <c r="E413" s="16"/>
      <c r="F413" s="16"/>
      <c r="G413" s="16"/>
      <c r="H413" s="16">
        <f t="shared" si="332"/>
        <v>32584243</v>
      </c>
      <c r="I413" s="16"/>
      <c r="J413" s="436">
        <f t="shared" si="333"/>
        <v>1.5998304694884271E-3</v>
      </c>
      <c r="K413" s="16"/>
      <c r="L413" s="16"/>
      <c r="M413" s="16"/>
      <c r="N413" s="16">
        <f t="shared" si="334"/>
        <v>386160</v>
      </c>
      <c r="O413" s="16">
        <f t="shared" si="335"/>
        <v>80654.066831683172</v>
      </c>
      <c r="P413" s="41"/>
      <c r="Q413" s="17">
        <f t="shared" si="336"/>
        <v>386160</v>
      </c>
      <c r="R413" s="16"/>
      <c r="S413" s="60">
        <f t="shared" si="337"/>
        <v>-0.14833928807727934</v>
      </c>
      <c r="T413" s="16"/>
      <c r="U413" s="41"/>
      <c r="V413" s="10">
        <f t="shared" si="356"/>
        <v>305</v>
      </c>
      <c r="W413" s="34">
        <v>885</v>
      </c>
      <c r="X413" s="33">
        <v>4256</v>
      </c>
      <c r="Y413" s="33"/>
      <c r="Z413" s="33">
        <f t="shared" si="338"/>
        <v>4041</v>
      </c>
      <c r="AA413" s="33">
        <f t="shared" si="339"/>
        <v>576033</v>
      </c>
      <c r="AB413" s="33"/>
      <c r="AC413" s="46">
        <f t="shared" si="340"/>
        <v>1.7678268603631517E-2</v>
      </c>
      <c r="AD413" s="33"/>
      <c r="AE413" s="33">
        <f t="shared" si="341"/>
        <v>1425.8242574257426</v>
      </c>
      <c r="AF413" s="50"/>
      <c r="AG413" s="33">
        <f t="shared" si="342"/>
        <v>4917</v>
      </c>
      <c r="AH413" s="33">
        <f t="shared" si="315"/>
        <v>1122764350.060914</v>
      </c>
      <c r="AI413" s="213">
        <f t="shared" si="343"/>
        <v>-3.8897576231430808E-2</v>
      </c>
      <c r="AJ413" s="50"/>
      <c r="AK413" s="111"/>
      <c r="AL413" s="23">
        <f t="shared" si="344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45"/>
        <v>1.8105032978566434E-3</v>
      </c>
      <c r="AS413" s="25"/>
      <c r="AT413" s="25"/>
      <c r="AU413" s="24"/>
      <c r="AV413" s="298">
        <f t="shared" si="346"/>
        <v>0.78325935023256488</v>
      </c>
      <c r="AW413" s="298"/>
      <c r="AX413" s="24">
        <f t="shared" si="347"/>
        <v>63173.051980198019</v>
      </c>
      <c r="AY413" s="308"/>
      <c r="AZ413" s="111"/>
      <c r="BA413" s="65">
        <f t="shared" si="348"/>
        <v>1021807</v>
      </c>
      <c r="BB413" s="66"/>
      <c r="BC413" s="66">
        <v>442210652</v>
      </c>
      <c r="BD413" s="66"/>
      <c r="BE413" s="66">
        <f t="shared" si="349"/>
        <v>52046</v>
      </c>
      <c r="BF413" s="66"/>
      <c r="BG413" s="144">
        <f t="shared" si="350"/>
        <v>5.0935254896472625E-2</v>
      </c>
      <c r="BH413" s="66"/>
      <c r="BI413" s="170"/>
      <c r="BJ413" s="66"/>
      <c r="BK413" s="66">
        <f t="shared" si="351"/>
        <v>10268929</v>
      </c>
      <c r="BL413" s="66"/>
      <c r="BM413" s="144">
        <f t="shared" si="352"/>
        <v>3.7604700548616123E-2</v>
      </c>
      <c r="BN413" s="65">
        <f t="shared" si="353"/>
        <v>1094580.8217821782</v>
      </c>
      <c r="BO413" s="66"/>
      <c r="BP413" s="66">
        <f t="shared" si="354"/>
        <v>31677265</v>
      </c>
      <c r="BQ413" s="66"/>
      <c r="BR413" s="435">
        <f t="shared" si="355"/>
        <v>7.1633880497297478E-2</v>
      </c>
      <c r="BS413" s="66"/>
      <c r="BT413" s="75"/>
      <c r="BU413" s="170"/>
      <c r="BV413" s="1"/>
      <c r="BW413" s="61">
        <f t="shared" si="189"/>
        <v>404</v>
      </c>
    </row>
    <row r="414" spans="2:75" x14ac:dyDescent="0.3">
      <c r="B414" s="158">
        <f t="shared" si="163"/>
        <v>44314</v>
      </c>
      <c r="C414" s="61"/>
      <c r="D414" s="17">
        <v>56604</v>
      </c>
      <c r="E414" s="16"/>
      <c r="F414" s="16"/>
      <c r="G414" s="16"/>
      <c r="H414" s="16">
        <f t="shared" si="332"/>
        <v>32640847</v>
      </c>
      <c r="I414" s="16"/>
      <c r="J414" s="436">
        <f t="shared" si="333"/>
        <v>1.7371586628543128E-3</v>
      </c>
      <c r="K414" s="16"/>
      <c r="L414" s="16"/>
      <c r="M414" s="16"/>
      <c r="N414" s="16">
        <f t="shared" si="334"/>
        <v>377707</v>
      </c>
      <c r="O414" s="16">
        <f t="shared" si="335"/>
        <v>80594.683950617284</v>
      </c>
      <c r="P414" s="41"/>
      <c r="Q414" s="17">
        <f t="shared" si="336"/>
        <v>377707</v>
      </c>
      <c r="R414" s="16"/>
      <c r="S414" s="60">
        <f t="shared" si="337"/>
        <v>-0.14164913030238296</v>
      </c>
      <c r="T414" s="16"/>
      <c r="U414" s="41"/>
      <c r="V414" s="10">
        <f t="shared" si="356"/>
        <v>306</v>
      </c>
      <c r="W414" s="34">
        <v>954</v>
      </c>
      <c r="X414" s="33">
        <v>4256</v>
      </c>
      <c r="Y414" s="33"/>
      <c r="Z414" s="33">
        <f t="shared" si="338"/>
        <v>4099</v>
      </c>
      <c r="AA414" s="33">
        <f t="shared" si="339"/>
        <v>576987</v>
      </c>
      <c r="AB414" s="33"/>
      <c r="AC414" s="46">
        <f t="shared" si="340"/>
        <v>1.7676839084475964E-2</v>
      </c>
      <c r="AD414" s="33"/>
      <c r="AE414" s="33">
        <f t="shared" si="341"/>
        <v>1424.6592592592592</v>
      </c>
      <c r="AF414" s="50"/>
      <c r="AG414" s="33">
        <f t="shared" si="342"/>
        <v>4995</v>
      </c>
      <c r="AH414" s="33">
        <f t="shared" si="315"/>
        <v>1122704152.060914</v>
      </c>
      <c r="AI414" s="213">
        <f t="shared" si="343"/>
        <v>-1.6151270435296437E-2</v>
      </c>
      <c r="AJ414" s="50"/>
      <c r="AK414" s="111"/>
      <c r="AL414" s="23">
        <f t="shared" si="344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45"/>
        <v>2.461962784686242E-3</v>
      </c>
      <c r="AS414" s="25"/>
      <c r="AT414" s="25"/>
      <c r="AU414" s="24"/>
      <c r="AV414" s="298">
        <f t="shared" si="346"/>
        <v>0.78382607534663551</v>
      </c>
      <c r="AW414" s="298"/>
      <c r="AX414" s="24">
        <f t="shared" si="347"/>
        <v>63172.214814814812</v>
      </c>
      <c r="AY414" s="308"/>
      <c r="AZ414" s="111"/>
      <c r="BA414" s="65">
        <f t="shared" si="348"/>
        <v>1776345</v>
      </c>
      <c r="BB414" s="66"/>
      <c r="BC414" s="66">
        <v>443986997</v>
      </c>
      <c r="BD414" s="66"/>
      <c r="BE414" s="66">
        <f t="shared" si="349"/>
        <v>56604</v>
      </c>
      <c r="BF414" s="66"/>
      <c r="BG414" s="144">
        <f t="shared" si="350"/>
        <v>3.1865431546236798E-2</v>
      </c>
      <c r="BH414" s="66"/>
      <c r="BI414" s="170"/>
      <c r="BJ414" s="66"/>
      <c r="BK414" s="66">
        <f t="shared" si="351"/>
        <v>10547351</v>
      </c>
      <c r="BL414" s="66"/>
      <c r="BM414" s="144">
        <f t="shared" si="352"/>
        <v>3.5810603060427208E-2</v>
      </c>
      <c r="BN414" s="65">
        <f t="shared" si="353"/>
        <v>1096264.1901234568</v>
      </c>
      <c r="BO414" s="66"/>
      <c r="BP414" s="66">
        <f t="shared" si="354"/>
        <v>31733869</v>
      </c>
      <c r="BQ414" s="66"/>
      <c r="BR414" s="435">
        <f t="shared" si="355"/>
        <v>7.1474771140651219E-2</v>
      </c>
      <c r="BS414" s="66"/>
      <c r="BT414" s="75"/>
      <c r="BU414" s="170"/>
      <c r="BV414" s="1"/>
      <c r="BW414" s="61">
        <f t="shared" si="189"/>
        <v>405</v>
      </c>
    </row>
    <row r="415" spans="2:75" x14ac:dyDescent="0.3">
      <c r="B415" s="158">
        <f t="shared" si="163"/>
        <v>44315</v>
      </c>
      <c r="C415" s="61"/>
      <c r="D415" s="17">
        <v>59269</v>
      </c>
      <c r="E415" s="16"/>
      <c r="F415" s="16"/>
      <c r="G415" s="16"/>
      <c r="H415" s="16">
        <f t="shared" si="332"/>
        <v>32700116</v>
      </c>
      <c r="I415" s="16"/>
      <c r="J415" s="436">
        <f t="shared" si="333"/>
        <v>1.8157923414181011E-3</v>
      </c>
      <c r="K415" s="16"/>
      <c r="L415" s="16"/>
      <c r="M415" s="16"/>
      <c r="N415" s="16">
        <f t="shared" si="334"/>
        <v>369906</v>
      </c>
      <c r="O415" s="16">
        <f t="shared" si="335"/>
        <v>80542.157635467986</v>
      </c>
      <c r="P415" s="41"/>
      <c r="Q415" s="17">
        <f t="shared" si="336"/>
        <v>369906</v>
      </c>
      <c r="R415" s="16"/>
      <c r="S415" s="60">
        <f t="shared" si="337"/>
        <v>-0.14498103455847852</v>
      </c>
      <c r="T415" s="16"/>
      <c r="U415" s="41"/>
      <c r="V415" s="10">
        <f t="shared" si="356"/>
        <v>307</v>
      </c>
      <c r="W415" s="34">
        <v>870</v>
      </c>
      <c r="X415" s="33">
        <v>4256</v>
      </c>
      <c r="Y415" s="33"/>
      <c r="Z415" s="33">
        <f t="shared" si="338"/>
        <v>4179</v>
      </c>
      <c r="AA415" s="33">
        <f t="shared" si="339"/>
        <v>577857</v>
      </c>
      <c r="AB415" s="33"/>
      <c r="AC415" s="46">
        <f t="shared" si="340"/>
        <v>1.7671405202354634E-2</v>
      </c>
      <c r="AD415" s="33"/>
      <c r="AE415" s="33">
        <f t="shared" si="341"/>
        <v>1423.2931034482758</v>
      </c>
      <c r="AF415" s="50"/>
      <c r="AG415" s="33">
        <f t="shared" si="342"/>
        <v>4969</v>
      </c>
      <c r="AH415" s="33">
        <f t="shared" si="315"/>
        <v>1122641693.060914</v>
      </c>
      <c r="AI415" s="213">
        <f t="shared" si="343"/>
        <v>-2.1465143757384796E-2</v>
      </c>
      <c r="AJ415" s="50"/>
      <c r="AK415" s="111"/>
      <c r="AL415" s="23">
        <f t="shared" si="344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45"/>
        <v>2.2211280807271612E-3</v>
      </c>
      <c r="AS415" s="25"/>
      <c r="AT415" s="25"/>
      <c r="AU415" s="24"/>
      <c r="AV415" s="298">
        <f t="shared" si="346"/>
        <v>0.78414321221368144</v>
      </c>
      <c r="AW415" s="298"/>
      <c r="AX415" s="24">
        <f t="shared" si="347"/>
        <v>63156.586206896551</v>
      </c>
      <c r="AY415" s="308"/>
      <c r="AZ415" s="111"/>
      <c r="BA415" s="65">
        <f t="shared" si="348"/>
        <v>1145686</v>
      </c>
      <c r="BB415" s="66"/>
      <c r="BC415" s="66">
        <v>445132683</v>
      </c>
      <c r="BD415" s="66"/>
      <c r="BE415" s="66">
        <f t="shared" si="349"/>
        <v>59269</v>
      </c>
      <c r="BF415" s="66"/>
      <c r="BG415" s="144">
        <f t="shared" si="350"/>
        <v>5.1732324563623887E-2</v>
      </c>
      <c r="BH415" s="66"/>
      <c r="BI415" s="170"/>
      <c r="BJ415" s="66"/>
      <c r="BK415" s="66">
        <f t="shared" si="351"/>
        <v>9694071</v>
      </c>
      <c r="BL415" s="66"/>
      <c r="BM415" s="144">
        <f t="shared" si="352"/>
        <v>3.8157962738255169E-2</v>
      </c>
      <c r="BN415" s="65">
        <f t="shared" si="353"/>
        <v>1096385.9187192118</v>
      </c>
      <c r="BO415" s="66"/>
      <c r="BP415" s="66">
        <f t="shared" si="354"/>
        <v>31793138</v>
      </c>
      <c r="BQ415" s="66"/>
      <c r="BR415" s="435">
        <f t="shared" si="355"/>
        <v>7.142395787639795E-2</v>
      </c>
      <c r="BS415" s="66"/>
      <c r="BT415" s="75"/>
      <c r="BU415" s="170"/>
      <c r="BV415" s="1"/>
      <c r="BW415" s="61">
        <f t="shared" si="189"/>
        <v>406</v>
      </c>
    </row>
    <row r="416" spans="2:75" x14ac:dyDescent="0.3">
      <c r="B416" s="158">
        <f t="shared" si="163"/>
        <v>44316</v>
      </c>
      <c r="C416" s="61"/>
      <c r="D416" s="17">
        <v>59906</v>
      </c>
      <c r="E416" s="16"/>
      <c r="F416" s="16"/>
      <c r="G416" s="16"/>
      <c r="H416" s="16">
        <f t="shared" si="332"/>
        <v>32760022</v>
      </c>
      <c r="I416" s="16"/>
      <c r="J416" s="436">
        <f t="shared" si="333"/>
        <v>1.8319812688126244E-3</v>
      </c>
      <c r="K416" s="16"/>
      <c r="L416" s="16"/>
      <c r="M416" s="16"/>
      <c r="N416" s="16">
        <f t="shared" si="334"/>
        <v>363297</v>
      </c>
      <c r="O416" s="16">
        <f t="shared" si="335"/>
        <v>80491.454545454544</v>
      </c>
      <c r="P416" s="41"/>
      <c r="Q416" s="17">
        <f t="shared" si="336"/>
        <v>363297</v>
      </c>
      <c r="R416" s="16"/>
      <c r="S416" s="60">
        <f t="shared" si="337"/>
        <v>-0.12955859415244469</v>
      </c>
      <c r="T416" s="16"/>
      <c r="U416" s="41"/>
      <c r="V416" s="10">
        <f t="shared" si="356"/>
        <v>308</v>
      </c>
      <c r="W416" s="34">
        <v>784</v>
      </c>
      <c r="X416" s="33">
        <v>4256</v>
      </c>
      <c r="Y416" s="33"/>
      <c r="Z416" s="33">
        <f t="shared" si="338"/>
        <v>4221</v>
      </c>
      <c r="AA416" s="33">
        <f t="shared" si="339"/>
        <v>578641</v>
      </c>
      <c r="AB416" s="33"/>
      <c r="AC416" s="46">
        <f t="shared" si="340"/>
        <v>1.7663022326419683E-2</v>
      </c>
      <c r="AD416" s="33"/>
      <c r="AE416" s="33">
        <f t="shared" si="341"/>
        <v>1421.7223587223586</v>
      </c>
      <c r="AF416" s="50"/>
      <c r="AG416" s="33">
        <f t="shared" si="342"/>
        <v>4963</v>
      </c>
      <c r="AH416" s="33">
        <f t="shared" si="315"/>
        <v>1122572937.060914</v>
      </c>
      <c r="AI416" s="213">
        <f t="shared" si="343"/>
        <v>-3.6137321822927123E-3</v>
      </c>
      <c r="AJ416" s="50"/>
      <c r="AK416" s="111"/>
      <c r="AL416" s="23">
        <f t="shared" si="344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45"/>
        <v>2.6740948118083546E-3</v>
      </c>
      <c r="AS416" s="25"/>
      <c r="AT416" s="25"/>
      <c r="AU416" s="24"/>
      <c r="AV416" s="298">
        <f t="shared" si="346"/>
        <v>0.78480234231832935</v>
      </c>
      <c r="AW416" s="298"/>
      <c r="AX416" s="24">
        <f t="shared" si="347"/>
        <v>63169.882063882062</v>
      </c>
      <c r="AY416" s="308"/>
      <c r="AZ416" s="111"/>
      <c r="BA416" s="65">
        <f t="shared" si="348"/>
        <v>1494514</v>
      </c>
      <c r="BB416" s="66"/>
      <c r="BC416" s="66">
        <v>446627197</v>
      </c>
      <c r="BD416" s="66"/>
      <c r="BE416" s="66">
        <f t="shared" si="349"/>
        <v>59906</v>
      </c>
      <c r="BF416" s="66"/>
      <c r="BG416" s="144">
        <f t="shared" si="350"/>
        <v>4.0083933639965902E-2</v>
      </c>
      <c r="BH416" s="66"/>
      <c r="BI416" s="170"/>
      <c r="BJ416" s="66"/>
      <c r="BK416" s="66">
        <f t="shared" si="351"/>
        <v>9559116</v>
      </c>
      <c r="BL416" s="66"/>
      <c r="BM416" s="144">
        <f t="shared" si="352"/>
        <v>3.8005292539603032E-2</v>
      </c>
      <c r="BN416" s="65">
        <f t="shared" si="353"/>
        <v>1097364.1203931205</v>
      </c>
      <c r="BO416" s="66"/>
      <c r="BP416" s="66">
        <f t="shared" si="354"/>
        <v>31853044</v>
      </c>
      <c r="BQ416" s="66"/>
      <c r="BR416" s="435">
        <f t="shared" si="355"/>
        <v>7.1319087180443247E-2</v>
      </c>
      <c r="BS416" s="66"/>
      <c r="BT416" s="75"/>
      <c r="BU416" s="170"/>
      <c r="BV416" s="1"/>
      <c r="BW416" s="61">
        <f t="shared" si="189"/>
        <v>407</v>
      </c>
    </row>
    <row r="417" spans="2:75" x14ac:dyDescent="0.3">
      <c r="B417" s="158">
        <f t="shared" si="163"/>
        <v>44317</v>
      </c>
      <c r="C417" s="61"/>
      <c r="D417" s="17">
        <v>42034</v>
      </c>
      <c r="E417" s="16"/>
      <c r="F417" s="16"/>
      <c r="G417" s="16"/>
      <c r="H417" s="16">
        <f t="shared" si="332"/>
        <v>32802056</v>
      </c>
      <c r="I417" s="16"/>
      <c r="J417" s="436">
        <f t="shared" si="333"/>
        <v>1.2830882714303428E-3</v>
      </c>
      <c r="K417" s="16"/>
      <c r="L417" s="16"/>
      <c r="M417" s="16"/>
      <c r="N417" s="16">
        <f t="shared" si="334"/>
        <v>352051</v>
      </c>
      <c r="O417" s="16">
        <f t="shared" si="335"/>
        <v>80397.196078431371</v>
      </c>
      <c r="P417" s="41"/>
      <c r="Q417" s="17">
        <f t="shared" si="336"/>
        <v>352051</v>
      </c>
      <c r="R417" s="16"/>
      <c r="S417" s="60">
        <f t="shared" si="337"/>
        <v>-0.13515857223573341</v>
      </c>
      <c r="T417" s="16"/>
      <c r="U417" s="41"/>
      <c r="V417" s="10">
        <f t="shared" si="356"/>
        <v>309</v>
      </c>
      <c r="W417" s="34">
        <v>661</v>
      </c>
      <c r="X417" s="33">
        <v>4256</v>
      </c>
      <c r="Y417" s="33"/>
      <c r="Z417" s="33">
        <f t="shared" si="338"/>
        <v>4609</v>
      </c>
      <c r="AA417" s="33">
        <f t="shared" si="339"/>
        <v>579302</v>
      </c>
      <c r="AB417" s="33"/>
      <c r="AC417" s="46">
        <f t="shared" si="340"/>
        <v>1.7660539327169003E-2</v>
      </c>
      <c r="AD417" s="33"/>
      <c r="AE417" s="33">
        <f t="shared" si="341"/>
        <v>1419.8578431372548</v>
      </c>
      <c r="AF417" s="50"/>
      <c r="AG417" s="33">
        <f t="shared" si="342"/>
        <v>4882</v>
      </c>
      <c r="AH417" s="33">
        <f t="shared" si="315"/>
        <v>1122528686.060914</v>
      </c>
      <c r="AI417" s="213">
        <f t="shared" si="343"/>
        <v>-2.0661985957873621E-2</v>
      </c>
      <c r="AJ417" s="50"/>
      <c r="AK417" s="111"/>
      <c r="AL417" s="23">
        <f t="shared" si="344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45"/>
        <v>2.6365081919812036E-3</v>
      </c>
      <c r="AS417" s="25"/>
      <c r="AT417" s="25"/>
      <c r="AU417" s="24"/>
      <c r="AV417" s="298">
        <f t="shared" si="346"/>
        <v>0.78586314833436055</v>
      </c>
      <c r="AW417" s="298"/>
      <c r="AX417" s="24">
        <f t="shared" si="347"/>
        <v>63181.193627450979</v>
      </c>
      <c r="AY417" s="308"/>
      <c r="AZ417" s="111"/>
      <c r="BA417" s="65">
        <f t="shared" si="348"/>
        <v>1105485</v>
      </c>
      <c r="BB417" s="66"/>
      <c r="BC417" s="66">
        <v>447732682</v>
      </c>
      <c r="BD417" s="66"/>
      <c r="BE417" s="66">
        <f t="shared" si="349"/>
        <v>42034</v>
      </c>
      <c r="BF417" s="66"/>
      <c r="BG417" s="144">
        <f t="shared" si="350"/>
        <v>3.8023130119359379E-2</v>
      </c>
      <c r="BH417" s="66"/>
      <c r="BI417" s="170"/>
      <c r="BJ417" s="66"/>
      <c r="BK417" s="66">
        <f t="shared" si="351"/>
        <v>9141254</v>
      </c>
      <c r="BL417" s="66"/>
      <c r="BM417" s="144">
        <f t="shared" si="352"/>
        <v>3.8512331021542556E-2</v>
      </c>
      <c r="BN417" s="65">
        <f t="shared" si="353"/>
        <v>1097384.0245098039</v>
      </c>
      <c r="BO417" s="66"/>
      <c r="BP417" s="66">
        <f t="shared" si="354"/>
        <v>31895078</v>
      </c>
      <c r="BQ417" s="66"/>
      <c r="BR417" s="435">
        <f t="shared" si="355"/>
        <v>7.1236877007785637E-2</v>
      </c>
      <c r="BS417" s="66"/>
      <c r="BT417" s="75"/>
      <c r="BU417" s="170"/>
      <c r="BV417" s="1"/>
      <c r="BW417" s="61">
        <f t="shared" si="189"/>
        <v>408</v>
      </c>
    </row>
    <row r="418" spans="2:75" x14ac:dyDescent="0.3">
      <c r="B418" s="347">
        <f t="shared" si="163"/>
        <v>44318</v>
      </c>
      <c r="C418" s="61"/>
      <c r="D418" s="17">
        <v>30701</v>
      </c>
      <c r="E418" s="16"/>
      <c r="F418" s="16"/>
      <c r="G418" s="16"/>
      <c r="H418" s="16">
        <f t="shared" si="332"/>
        <v>32832757</v>
      </c>
      <c r="I418" s="16"/>
      <c r="J418" s="436">
        <f t="shared" si="333"/>
        <v>9.3594742963672769E-4</v>
      </c>
      <c r="K418" s="16"/>
      <c r="L418" s="16"/>
      <c r="M418" s="16"/>
      <c r="N418" s="577">
        <f t="shared" si="334"/>
        <v>348016</v>
      </c>
      <c r="O418" s="16">
        <f t="shared" si="335"/>
        <v>80275.689486552568</v>
      </c>
      <c r="P418" s="41"/>
      <c r="Q418" s="17">
        <f t="shared" si="336"/>
        <v>348016</v>
      </c>
      <c r="R418" s="16"/>
      <c r="S418" s="60">
        <f t="shared" si="337"/>
        <v>-0.12695892129194106</v>
      </c>
      <c r="T418" s="16"/>
      <c r="U418" s="41"/>
      <c r="V418" s="10">
        <f t="shared" si="356"/>
        <v>310</v>
      </c>
      <c r="W418" s="34">
        <v>312</v>
      </c>
      <c r="X418" s="33">
        <v>4256</v>
      </c>
      <c r="Y418" s="33"/>
      <c r="Z418" s="33">
        <f t="shared" si="338"/>
        <v>4466</v>
      </c>
      <c r="AA418" s="33">
        <f t="shared" si="339"/>
        <v>579614</v>
      </c>
      <c r="AB418" s="33"/>
      <c r="AC418" s="46">
        <f t="shared" si="340"/>
        <v>1.7653528151778421E-2</v>
      </c>
      <c r="AD418" s="33"/>
      <c r="AE418" s="33">
        <f t="shared" si="341"/>
        <v>1417.1491442542788</v>
      </c>
      <c r="AF418" s="50"/>
      <c r="AG418" s="33">
        <f t="shared" si="342"/>
        <v>4921</v>
      </c>
      <c r="AH418" s="33">
        <f t="shared" si="315"/>
        <v>1122458662.060914</v>
      </c>
      <c r="AI418" s="213">
        <f t="shared" si="343"/>
        <v>-5.4567502021018593E-3</v>
      </c>
      <c r="AJ418" s="50"/>
      <c r="AK418" s="111"/>
      <c r="AL418" s="23">
        <f t="shared" si="344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45"/>
        <v>1.7795457330606918E-3</v>
      </c>
      <c r="AS418" s="25"/>
      <c r="AT418" s="25"/>
      <c r="AU418" s="24"/>
      <c r="AV418" s="298">
        <f t="shared" si="346"/>
        <v>0.78652548124423427</v>
      </c>
      <c r="AW418" s="298"/>
      <c r="AX418" s="24">
        <f t="shared" si="347"/>
        <v>63138.875305623471</v>
      </c>
      <c r="AY418" s="308"/>
      <c r="AZ418" s="111"/>
      <c r="BA418" s="65">
        <f t="shared" si="348"/>
        <v>1251998</v>
      </c>
      <c r="BB418" s="66"/>
      <c r="BC418" s="66">
        <v>448984680</v>
      </c>
      <c r="BD418" s="66"/>
      <c r="BE418" s="66">
        <f t="shared" si="349"/>
        <v>30701</v>
      </c>
      <c r="BF418" s="66"/>
      <c r="BG418" s="144">
        <f t="shared" si="350"/>
        <v>2.4521604667100107E-2</v>
      </c>
      <c r="BH418" s="66"/>
      <c r="BI418" s="170"/>
      <c r="BJ418" s="66"/>
      <c r="BK418" s="66">
        <f t="shared" si="351"/>
        <v>9341188</v>
      </c>
      <c r="BL418" s="66"/>
      <c r="BM418" s="144">
        <f t="shared" si="352"/>
        <v>3.7256074923232463E-2</v>
      </c>
      <c r="BN418" s="65">
        <f t="shared" si="353"/>
        <v>1097762.0537897311</v>
      </c>
      <c r="BO418" s="66"/>
      <c r="BP418" s="66">
        <f t="shared" si="354"/>
        <v>31925779</v>
      </c>
      <c r="BQ418" s="66"/>
      <c r="BR418" s="435">
        <f t="shared" si="355"/>
        <v>7.1106611031806252E-2</v>
      </c>
      <c r="BS418" s="66"/>
      <c r="BT418" s="75"/>
      <c r="BU418" s="170"/>
      <c r="BV418" s="1"/>
      <c r="BW418" s="61">
        <f t="shared" si="189"/>
        <v>409</v>
      </c>
    </row>
    <row r="419" spans="2:75" x14ac:dyDescent="0.3">
      <c r="B419" s="158">
        <f t="shared" si="163"/>
        <v>44319</v>
      </c>
      <c r="C419" s="61"/>
      <c r="D419" s="17">
        <v>40454</v>
      </c>
      <c r="E419" s="16"/>
      <c r="F419" s="16"/>
      <c r="G419" s="16"/>
      <c r="H419" s="16">
        <f t="shared" ref="H419:H439" si="357">+H418+D419</f>
        <v>32873211</v>
      </c>
      <c r="I419" s="16"/>
      <c r="J419" s="436">
        <f t="shared" ref="J419:J439" si="358">+D419/H418</f>
        <v>1.2321231506693148E-3</v>
      </c>
      <c r="K419" s="16"/>
      <c r="L419" s="16"/>
      <c r="M419" s="16"/>
      <c r="N419" s="16">
        <f t="shared" ref="N419:N439" si="359">SUM(D413:D419)</f>
        <v>341014</v>
      </c>
      <c r="O419" s="16">
        <f t="shared" ref="O419:O439" si="360">+H419/BW419</f>
        <v>80178.563414634147</v>
      </c>
      <c r="P419" s="41"/>
      <c r="Q419" s="17">
        <f t="shared" ref="Q419:Q439" si="361">SUM(D413:D419)</f>
        <v>341014</v>
      </c>
      <c r="R419" s="16"/>
      <c r="S419" s="60">
        <f t="shared" ref="S419:S439" si="362">+(Q419-Q412)/Q412</f>
        <v>-0.135427996278183</v>
      </c>
      <c r="T419" s="16"/>
      <c r="U419" s="41"/>
      <c r="V419" s="10">
        <f t="shared" si="356"/>
        <v>311</v>
      </c>
      <c r="W419" s="34">
        <v>460</v>
      </c>
      <c r="X419" s="33">
        <v>4256</v>
      </c>
      <c r="Y419" s="33"/>
      <c r="Z419" s="33">
        <f t="shared" ref="Z419:Z439" si="363">SUM(W414:W419)</f>
        <v>4041</v>
      </c>
      <c r="AA419" s="33">
        <f t="shared" ref="AA419:AA439" si="364">+AA418+W419</f>
        <v>580074</v>
      </c>
      <c r="AB419" s="33"/>
      <c r="AC419" s="46">
        <f t="shared" ref="AC419:AC439" si="365">+AA419/H419</f>
        <v>1.7645796755297195E-2</v>
      </c>
      <c r="AD419" s="33"/>
      <c r="AE419" s="33">
        <f t="shared" ref="AE419:AE439" si="366">+AA419/BW419</f>
        <v>1414.8146341463414</v>
      </c>
      <c r="AF419" s="50"/>
      <c r="AG419" s="33">
        <f t="shared" ref="AG419:AG439" si="367">SUM(W413:W419)</f>
        <v>4926</v>
      </c>
      <c r="AH419" s="33">
        <f t="shared" si="315"/>
        <v>1122392508.060914</v>
      </c>
      <c r="AI419" s="213">
        <f t="shared" ref="AI419:AI439" si="368">+(AG419-AG412)/AG412</f>
        <v>2.2380467955239063E-3</v>
      </c>
      <c r="AJ419" s="50"/>
      <c r="AK419" s="111"/>
      <c r="AL419" s="23">
        <f t="shared" ref="AL419:AL439" si="369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70">+AL419/AP418</f>
        <v>3.2870452838079599E-3</v>
      </c>
      <c r="AS419" s="25"/>
      <c r="AT419" s="25"/>
      <c r="AU419" s="24"/>
      <c r="AV419" s="298">
        <f t="shared" ref="AV419:AV439" si="371">+AP419/H419</f>
        <v>0.78813974089723093</v>
      </c>
      <c r="AW419" s="298"/>
      <c r="AX419" s="24">
        <f t="shared" ref="AX419:AX439" si="372">+AP419/BW419</f>
        <v>63191.912195121949</v>
      </c>
      <c r="AY419" s="308"/>
      <c r="AZ419" s="111"/>
      <c r="BA419" s="65">
        <f t="shared" ref="BA419:BA439" si="373">+BC419-BC418</f>
        <v>1302508</v>
      </c>
      <c r="BB419" s="66"/>
      <c r="BC419" s="66">
        <v>450287188</v>
      </c>
      <c r="BD419" s="66"/>
      <c r="BE419" s="66">
        <f t="shared" ref="BE419:BE439" si="374">+D419</f>
        <v>40454</v>
      </c>
      <c r="BF419" s="66"/>
      <c r="BG419" s="144">
        <f t="shared" ref="BG419:BG439" si="375">+BE419/BA419</f>
        <v>3.1058542442733556E-2</v>
      </c>
      <c r="BH419" s="66"/>
      <c r="BI419" s="170"/>
      <c r="BJ419" s="66"/>
      <c r="BK419" s="66">
        <f t="shared" ref="BK419:BK439" si="376">SUM(BA413:BA419)</f>
        <v>9098343</v>
      </c>
      <c r="BL419" s="66"/>
      <c r="BM419" s="144">
        <f t="shared" ref="BM419:BM439" si="377">+Q419/BK419</f>
        <v>3.7480890751206017E-2</v>
      </c>
      <c r="BN419" s="65">
        <f t="shared" ref="BN419:BN439" si="378">+BC419/BW419</f>
        <v>1098261.4341463414</v>
      </c>
      <c r="BO419" s="66"/>
      <c r="BP419" s="66">
        <f t="shared" ref="BP419:BP439" si="379">+BP418+BE419</f>
        <v>31966233</v>
      </c>
      <c r="BQ419" s="66"/>
      <c r="BR419" s="435">
        <f t="shared" ref="BR419:BR439" si="380">+BP419/BC419</f>
        <v>7.0990767341130745E-2</v>
      </c>
      <c r="BS419" s="66"/>
      <c r="BT419" s="75"/>
      <c r="BU419" s="170"/>
      <c r="BV419" s="1"/>
      <c r="BW419" s="61">
        <f t="shared" si="189"/>
        <v>410</v>
      </c>
    </row>
    <row r="420" spans="2:75" x14ac:dyDescent="0.3">
      <c r="B420" s="158">
        <f t="shared" si="163"/>
        <v>44320</v>
      </c>
      <c r="C420" s="61"/>
      <c r="D420" s="17">
        <v>42354</v>
      </c>
      <c r="E420" s="16"/>
      <c r="F420" s="16"/>
      <c r="G420" s="16"/>
      <c r="H420" s="16">
        <f t="shared" si="357"/>
        <v>32915565</v>
      </c>
      <c r="I420" s="16"/>
      <c r="J420" s="436">
        <f t="shared" si="358"/>
        <v>1.2884047134914809E-3</v>
      </c>
      <c r="K420" s="16"/>
      <c r="L420" s="16"/>
      <c r="M420" s="16"/>
      <c r="N420" s="16">
        <f t="shared" si="359"/>
        <v>331322</v>
      </c>
      <c r="O420" s="16">
        <f t="shared" si="360"/>
        <v>80086.53284671533</v>
      </c>
      <c r="P420" s="41"/>
      <c r="Q420" s="17">
        <f t="shared" si="361"/>
        <v>331322</v>
      </c>
      <c r="R420" s="16"/>
      <c r="S420" s="60">
        <f t="shared" si="362"/>
        <v>-0.14200849388854361</v>
      </c>
      <c r="T420" s="16"/>
      <c r="U420" s="41"/>
      <c r="V420" s="10">
        <f t="shared" si="356"/>
        <v>312</v>
      </c>
      <c r="W420" s="34">
        <v>853</v>
      </c>
      <c r="X420" s="33">
        <v>4256</v>
      </c>
      <c r="Y420" s="33"/>
      <c r="Z420" s="33">
        <f t="shared" si="363"/>
        <v>3940</v>
      </c>
      <c r="AA420" s="33">
        <f t="shared" si="364"/>
        <v>580927</v>
      </c>
      <c r="AB420" s="33"/>
      <c r="AC420" s="46">
        <f t="shared" si="365"/>
        <v>1.764900587305732E-2</v>
      </c>
      <c r="AD420" s="33"/>
      <c r="AE420" s="33">
        <f t="shared" si="366"/>
        <v>1413.4476885644769</v>
      </c>
      <c r="AF420" s="50"/>
      <c r="AG420" s="33">
        <f t="shared" si="367"/>
        <v>4894</v>
      </c>
      <c r="AH420" s="33">
        <f t="shared" si="315"/>
        <v>1122355525.060914</v>
      </c>
      <c r="AI420" s="213">
        <f t="shared" si="368"/>
        <v>-4.6776489729509867E-3</v>
      </c>
      <c r="AJ420" s="50"/>
      <c r="AK420" s="111"/>
      <c r="AL420" s="23">
        <f t="shared" si="369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70"/>
        <v>2.227245505792575E-3</v>
      </c>
      <c r="AS420" s="25"/>
      <c r="AT420" s="25"/>
      <c r="AU420" s="24"/>
      <c r="AV420" s="298">
        <f t="shared" si="371"/>
        <v>0.78887872652345481</v>
      </c>
      <c r="AW420" s="298"/>
      <c r="AX420" s="24">
        <f t="shared" si="372"/>
        <v>63178.562043795624</v>
      </c>
      <c r="AY420" s="308"/>
      <c r="AZ420" s="111"/>
      <c r="BA420" s="65">
        <f t="shared" si="373"/>
        <v>959207</v>
      </c>
      <c r="BB420" s="66"/>
      <c r="BC420" s="66">
        <v>451246395</v>
      </c>
      <c r="BD420" s="66"/>
      <c r="BE420" s="66">
        <f t="shared" si="374"/>
        <v>42354</v>
      </c>
      <c r="BF420" s="66"/>
      <c r="BG420" s="144">
        <f t="shared" si="375"/>
        <v>4.4155224054870323E-2</v>
      </c>
      <c r="BH420" s="66"/>
      <c r="BI420" s="170"/>
      <c r="BJ420" s="66"/>
      <c r="BK420" s="66">
        <f t="shared" si="376"/>
        <v>9035743</v>
      </c>
      <c r="BL420" s="66"/>
      <c r="BM420" s="144">
        <f t="shared" si="377"/>
        <v>3.666793090507333E-2</v>
      </c>
      <c r="BN420" s="65">
        <f t="shared" si="378"/>
        <v>1097923.1021897809</v>
      </c>
      <c r="BO420" s="66"/>
      <c r="BP420" s="66">
        <f t="shared" si="379"/>
        <v>32008587</v>
      </c>
      <c r="BQ420" s="66"/>
      <c r="BR420" s="435">
        <f t="shared" si="380"/>
        <v>7.0933723470522125E-2</v>
      </c>
      <c r="BS420" s="66"/>
      <c r="BT420" s="75"/>
      <c r="BU420" s="170"/>
      <c r="BV420" s="1"/>
      <c r="BW420" s="61">
        <f t="shared" si="189"/>
        <v>411</v>
      </c>
    </row>
    <row r="421" spans="2:75" x14ac:dyDescent="0.3">
      <c r="B421" s="158">
        <f t="shared" si="163"/>
        <v>44321</v>
      </c>
      <c r="C421" s="61"/>
      <c r="D421" s="17">
        <v>46129</v>
      </c>
      <c r="E421" s="16"/>
      <c r="F421" s="16"/>
      <c r="G421" s="16"/>
      <c r="H421" s="16">
        <f t="shared" si="357"/>
        <v>32961694</v>
      </c>
      <c r="I421" s="16"/>
      <c r="J421" s="436">
        <f t="shared" si="358"/>
        <v>1.4014342454701902E-3</v>
      </c>
      <c r="K421" s="16"/>
      <c r="L421" s="16"/>
      <c r="M421" s="16"/>
      <c r="N421" s="16">
        <f t="shared" si="359"/>
        <v>320847</v>
      </c>
      <c r="O421" s="16">
        <f t="shared" si="360"/>
        <v>80004.111650485444</v>
      </c>
      <c r="P421" s="41"/>
      <c r="Q421" s="17">
        <f t="shared" si="361"/>
        <v>320847</v>
      </c>
      <c r="R421" s="16"/>
      <c r="S421" s="60">
        <f t="shared" si="362"/>
        <v>-0.15053996881180387</v>
      </c>
      <c r="T421" s="16"/>
      <c r="U421" s="41"/>
      <c r="V421" s="10">
        <f t="shared" si="356"/>
        <v>313</v>
      </c>
      <c r="W421" s="34">
        <v>743</v>
      </c>
      <c r="X421" s="33">
        <v>4256</v>
      </c>
      <c r="Y421" s="33"/>
      <c r="Z421" s="33">
        <f t="shared" si="363"/>
        <v>3813</v>
      </c>
      <c r="AA421" s="33">
        <f t="shared" si="364"/>
        <v>581670</v>
      </c>
      <c r="AB421" s="33"/>
      <c r="AC421" s="46">
        <f t="shared" si="365"/>
        <v>1.7646847883485601E-2</v>
      </c>
      <c r="AD421" s="33"/>
      <c r="AE421" s="33">
        <f t="shared" si="366"/>
        <v>1411.8203883495146</v>
      </c>
      <c r="AF421" s="50"/>
      <c r="AG421" s="33">
        <f t="shared" si="367"/>
        <v>4683</v>
      </c>
      <c r="AH421" s="33">
        <f t="shared" si="315"/>
        <v>1122297881.060914</v>
      </c>
      <c r="AI421" s="213">
        <f t="shared" si="368"/>
        <v>-6.2462462462462461E-2</v>
      </c>
      <c r="AJ421" s="50"/>
      <c r="AK421" s="111"/>
      <c r="AL421" s="23">
        <f t="shared" si="369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70"/>
        <v>2.654392953906683E-3</v>
      </c>
      <c r="AS421" s="25"/>
      <c r="AT421" s="25"/>
      <c r="AU421" s="24"/>
      <c r="AV421" s="298">
        <f t="shared" si="371"/>
        <v>0.78986577570922178</v>
      </c>
      <c r="AW421" s="298"/>
      <c r="AX421" s="24">
        <f t="shared" si="372"/>
        <v>63192.509708737867</v>
      </c>
      <c r="AY421" s="308"/>
      <c r="AZ421" s="111"/>
      <c r="BA421" s="65">
        <f t="shared" si="373"/>
        <v>1834660</v>
      </c>
      <c r="BB421" s="66"/>
      <c r="BC421" s="66">
        <v>453081055</v>
      </c>
      <c r="BD421" s="66"/>
      <c r="BE421" s="66">
        <f t="shared" si="374"/>
        <v>46129</v>
      </c>
      <c r="BF421" s="66"/>
      <c r="BG421" s="144">
        <f t="shared" si="375"/>
        <v>2.5143078281534455E-2</v>
      </c>
      <c r="BH421" s="66"/>
      <c r="BI421" s="170"/>
      <c r="BJ421" s="66"/>
      <c r="BK421" s="66">
        <f t="shared" si="376"/>
        <v>9094058</v>
      </c>
      <c r="BL421" s="66"/>
      <c r="BM421" s="144">
        <f t="shared" si="377"/>
        <v>3.5280949384752111E-2</v>
      </c>
      <c r="BN421" s="65">
        <f t="shared" si="378"/>
        <v>1099711.2985436893</v>
      </c>
      <c r="BO421" s="66"/>
      <c r="BP421" s="66">
        <f t="shared" si="379"/>
        <v>32054716</v>
      </c>
      <c r="BQ421" s="66"/>
      <c r="BR421" s="435">
        <f t="shared" si="380"/>
        <v>7.0748303523748085E-2</v>
      </c>
      <c r="BS421" s="66"/>
      <c r="BT421" s="75"/>
      <c r="BU421" s="170"/>
      <c r="BV421" s="1"/>
      <c r="BW421" s="61">
        <f t="shared" si="189"/>
        <v>412</v>
      </c>
    </row>
    <row r="422" spans="2:75" x14ac:dyDescent="0.3">
      <c r="B422" s="158">
        <f t="shared" si="163"/>
        <v>44322</v>
      </c>
      <c r="C422" s="61"/>
      <c r="D422" s="17">
        <v>47819</v>
      </c>
      <c r="E422" s="16"/>
      <c r="F422" s="16"/>
      <c r="G422" s="16"/>
      <c r="H422" s="16">
        <f t="shared" si="357"/>
        <v>33009513</v>
      </c>
      <c r="I422" s="16"/>
      <c r="J422" s="436">
        <f t="shared" si="358"/>
        <v>1.4507446128223871E-3</v>
      </c>
      <c r="K422" s="16"/>
      <c r="L422" s="16"/>
      <c r="M422" s="16"/>
      <c r="N422" s="16">
        <f t="shared" si="359"/>
        <v>309397</v>
      </c>
      <c r="O422" s="16">
        <f t="shared" si="360"/>
        <v>79926.181598062947</v>
      </c>
      <c r="P422" s="41"/>
      <c r="Q422" s="17">
        <f t="shared" si="361"/>
        <v>309397</v>
      </c>
      <c r="R422" s="16"/>
      <c r="S422" s="60">
        <f t="shared" si="362"/>
        <v>-0.16357939584651235</v>
      </c>
      <c r="T422" s="16"/>
      <c r="U422" s="41"/>
      <c r="V422" s="10">
        <f t="shared" si="356"/>
        <v>314</v>
      </c>
      <c r="W422" s="34">
        <v>860</v>
      </c>
      <c r="X422" s="33">
        <v>4256</v>
      </c>
      <c r="Y422" s="33"/>
      <c r="Z422" s="33">
        <f t="shared" si="363"/>
        <v>3889</v>
      </c>
      <c r="AA422" s="33">
        <f t="shared" si="364"/>
        <v>582530</v>
      </c>
      <c r="AB422" s="33"/>
      <c r="AC422" s="46">
        <f t="shared" si="365"/>
        <v>1.7647336996459172E-2</v>
      </c>
      <c r="AD422" s="33"/>
      <c r="AE422" s="33">
        <f t="shared" si="366"/>
        <v>1410.4842615012108</v>
      </c>
      <c r="AF422" s="50"/>
      <c r="AG422" s="33">
        <f t="shared" si="367"/>
        <v>4673</v>
      </c>
      <c r="AH422" s="33">
        <f t="shared" ref="AH422:AH485" si="381">SUM(D393:D841)</f>
        <v>1122235598.060914</v>
      </c>
      <c r="AI422" s="213">
        <f t="shared" si="368"/>
        <v>-5.9569329845039244E-2</v>
      </c>
      <c r="AJ422" s="50"/>
      <c r="AK422" s="111"/>
      <c r="AL422" s="23">
        <f t="shared" si="369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70"/>
        <v>2.692381586025811E-3</v>
      </c>
      <c r="AS422" s="25"/>
      <c r="AT422" s="25"/>
      <c r="AU422" s="24"/>
      <c r="AV422" s="298">
        <f t="shared" si="371"/>
        <v>0.79084508153755551</v>
      </c>
      <c r="AW422" s="298"/>
      <c r="AX422" s="24">
        <f t="shared" si="372"/>
        <v>63209.227602905572</v>
      </c>
      <c r="AY422" s="308"/>
      <c r="AZ422" s="111"/>
      <c r="BA422" s="65">
        <f t="shared" si="373"/>
        <v>1372147</v>
      </c>
      <c r="BB422" s="66"/>
      <c r="BC422" s="66">
        <v>454453202</v>
      </c>
      <c r="BD422" s="66"/>
      <c r="BE422" s="66">
        <f t="shared" si="374"/>
        <v>47819</v>
      </c>
      <c r="BF422" s="66"/>
      <c r="BG422" s="144">
        <f t="shared" si="375"/>
        <v>3.4849764638919881E-2</v>
      </c>
      <c r="BH422" s="66"/>
      <c r="BI422" s="170"/>
      <c r="BJ422" s="66"/>
      <c r="BK422" s="66">
        <f t="shared" si="376"/>
        <v>9320519</v>
      </c>
      <c r="BL422" s="66"/>
      <c r="BM422" s="144">
        <f t="shared" si="377"/>
        <v>3.3195254470271454E-2</v>
      </c>
      <c r="BN422" s="65">
        <f t="shared" si="378"/>
        <v>1100370.9491525423</v>
      </c>
      <c r="BO422" s="66"/>
      <c r="BP422" s="66">
        <f t="shared" si="379"/>
        <v>32102535</v>
      </c>
      <c r="BQ422" s="66"/>
      <c r="BR422" s="435">
        <f t="shared" si="380"/>
        <v>7.0639913766082349E-2</v>
      </c>
      <c r="BS422" s="66"/>
      <c r="BT422" s="75"/>
      <c r="BU422" s="170"/>
      <c r="BV422" s="1"/>
      <c r="BW422" s="61">
        <f t="shared" si="189"/>
        <v>413</v>
      </c>
    </row>
    <row r="423" spans="2:75" x14ac:dyDescent="0.3">
      <c r="B423" s="158">
        <f t="shared" si="163"/>
        <v>44323</v>
      </c>
      <c r="C423" s="61"/>
      <c r="D423" s="17">
        <v>49491</v>
      </c>
      <c r="E423" s="16"/>
      <c r="F423" s="16"/>
      <c r="G423" s="16"/>
      <c r="H423" s="16">
        <f t="shared" si="357"/>
        <v>33059004</v>
      </c>
      <c r="I423" s="16"/>
      <c r="J423" s="436">
        <f t="shared" si="358"/>
        <v>1.4992950668493656E-3</v>
      </c>
      <c r="K423" s="16"/>
      <c r="L423" s="16"/>
      <c r="M423" s="16"/>
      <c r="N423" s="16">
        <f t="shared" si="359"/>
        <v>298982</v>
      </c>
      <c r="O423" s="16">
        <f t="shared" si="360"/>
        <v>79852.666666666672</v>
      </c>
      <c r="P423" s="41"/>
      <c r="Q423" s="17">
        <f t="shared" si="361"/>
        <v>298982</v>
      </c>
      <c r="R423" s="16"/>
      <c r="S423" s="60">
        <f t="shared" si="362"/>
        <v>-0.17703146461435135</v>
      </c>
      <c r="T423" s="16"/>
      <c r="U423" s="41"/>
      <c r="V423" s="10">
        <f t="shared" si="356"/>
        <v>315</v>
      </c>
      <c r="W423" s="34">
        <v>774</v>
      </c>
      <c r="X423" s="33">
        <v>4256</v>
      </c>
      <c r="Y423" s="33"/>
      <c r="Z423" s="33">
        <f t="shared" si="363"/>
        <v>4002</v>
      </c>
      <c r="AA423" s="33">
        <f t="shared" si="364"/>
        <v>583304</v>
      </c>
      <c r="AB423" s="33"/>
      <c r="AC423" s="46">
        <f t="shared" si="365"/>
        <v>1.7644330724543304E-2</v>
      </c>
      <c r="AD423" s="33"/>
      <c r="AE423" s="33">
        <f t="shared" si="366"/>
        <v>1408.9468599033817</v>
      </c>
      <c r="AF423" s="50"/>
      <c r="AG423" s="33">
        <f t="shared" si="367"/>
        <v>4663</v>
      </c>
      <c r="AH423" s="33">
        <f t="shared" si="381"/>
        <v>1122160415.060914</v>
      </c>
      <c r="AI423" s="213">
        <f t="shared" si="368"/>
        <v>-6.0447310094700786E-2</v>
      </c>
      <c r="AJ423" s="50"/>
      <c r="AK423" s="111"/>
      <c r="AL423" s="23">
        <f t="shared" si="369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70"/>
        <v>8.4023193505744845E-3</v>
      </c>
      <c r="AS423" s="25"/>
      <c r="AT423" s="25"/>
      <c r="AU423" s="24"/>
      <c r="AV423" s="298">
        <f t="shared" si="371"/>
        <v>0.79629613160759471</v>
      </c>
      <c r="AW423" s="298"/>
      <c r="AX423" s="24">
        <f t="shared" si="372"/>
        <v>63586.369565217392</v>
      </c>
      <c r="AY423" s="308"/>
      <c r="AZ423" s="111"/>
      <c r="BA423" s="65">
        <f t="shared" si="373"/>
        <v>1536629</v>
      </c>
      <c r="BB423" s="66"/>
      <c r="BC423" s="66">
        <v>455989831</v>
      </c>
      <c r="BD423" s="66"/>
      <c r="BE423" s="66">
        <f t="shared" si="374"/>
        <v>49491</v>
      </c>
      <c r="BF423" s="66"/>
      <c r="BG423" s="144">
        <f t="shared" si="375"/>
        <v>3.2207513980277609E-2</v>
      </c>
      <c r="BH423" s="66"/>
      <c r="BI423" s="170"/>
      <c r="BJ423" s="66"/>
      <c r="BK423" s="66">
        <f t="shared" si="376"/>
        <v>9362634</v>
      </c>
      <c r="BL423" s="66"/>
      <c r="BM423" s="144">
        <f t="shared" si="377"/>
        <v>3.1933534943264896E-2</v>
      </c>
      <c r="BN423" s="65">
        <f t="shared" si="378"/>
        <v>1101424.7125603864</v>
      </c>
      <c r="BO423" s="66"/>
      <c r="BP423" s="66">
        <f t="shared" si="379"/>
        <v>32152026</v>
      </c>
      <c r="BQ423" s="66"/>
      <c r="BR423" s="435">
        <f t="shared" si="380"/>
        <v>7.0510401360244362E-2</v>
      </c>
      <c r="BS423" s="66"/>
      <c r="BT423" s="75"/>
      <c r="BU423" s="170"/>
      <c r="BV423" s="1"/>
      <c r="BW423" s="61">
        <f t="shared" si="189"/>
        <v>414</v>
      </c>
    </row>
    <row r="424" spans="2:75" x14ac:dyDescent="0.3">
      <c r="B424" s="158">
        <f t="shared" si="163"/>
        <v>44324</v>
      </c>
      <c r="C424" s="61"/>
      <c r="D424" s="17">
        <v>35755</v>
      </c>
      <c r="E424" s="16"/>
      <c r="F424" s="16"/>
      <c r="G424" s="16"/>
      <c r="H424" s="16">
        <f t="shared" si="357"/>
        <v>33094759</v>
      </c>
      <c r="I424" s="16"/>
      <c r="J424" s="436">
        <f t="shared" si="358"/>
        <v>1.0815510352338504E-3</v>
      </c>
      <c r="K424" s="16"/>
      <c r="L424" s="16"/>
      <c r="M424" s="16"/>
      <c r="N424" s="16">
        <f t="shared" si="359"/>
        <v>292703</v>
      </c>
      <c r="O424" s="16">
        <f t="shared" si="360"/>
        <v>79746.407228915661</v>
      </c>
      <c r="P424" s="41"/>
      <c r="Q424" s="17">
        <f t="shared" si="361"/>
        <v>292703</v>
      </c>
      <c r="R424" s="16"/>
      <c r="S424" s="60">
        <f t="shared" si="362"/>
        <v>-0.16857784809587248</v>
      </c>
      <c r="T424" s="16"/>
      <c r="U424" s="41"/>
      <c r="V424" s="10">
        <f t="shared" si="356"/>
        <v>316</v>
      </c>
      <c r="W424" s="34">
        <v>648</v>
      </c>
      <c r="X424" s="33">
        <v>4256</v>
      </c>
      <c r="Y424" s="33"/>
      <c r="Z424" s="33">
        <f t="shared" si="363"/>
        <v>4338</v>
      </c>
      <c r="AA424" s="33">
        <f t="shared" si="364"/>
        <v>583952</v>
      </c>
      <c r="AB424" s="33"/>
      <c r="AC424" s="46">
        <f t="shared" si="365"/>
        <v>1.7644848237148365E-2</v>
      </c>
      <c r="AD424" s="33"/>
      <c r="AE424" s="33">
        <f t="shared" si="366"/>
        <v>1407.1132530120483</v>
      </c>
      <c r="AF424" s="50"/>
      <c r="AG424" s="33">
        <f t="shared" si="367"/>
        <v>4650</v>
      </c>
      <c r="AH424" s="33">
        <f t="shared" si="381"/>
        <v>1122080254.060914</v>
      </c>
      <c r="AI424" s="213">
        <f t="shared" si="368"/>
        <v>-4.7521507578861123E-2</v>
      </c>
      <c r="AJ424" s="50"/>
      <c r="AK424" s="111"/>
      <c r="AL424" s="23">
        <f t="shared" si="369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70"/>
        <v>3.081282003856674E-3</v>
      </c>
      <c r="AS424" s="25"/>
      <c r="AT424" s="25"/>
      <c r="AU424" s="24"/>
      <c r="AV424" s="298">
        <f t="shared" si="371"/>
        <v>0.79788678926472922</v>
      </c>
      <c r="AW424" s="298"/>
      <c r="AX424" s="24">
        <f t="shared" si="372"/>
        <v>63628.604819277105</v>
      </c>
      <c r="AY424" s="308"/>
      <c r="AZ424" s="111"/>
      <c r="BA424" s="65">
        <f t="shared" si="373"/>
        <v>1304842</v>
      </c>
      <c r="BB424" s="66"/>
      <c r="BC424" s="66">
        <v>457294673</v>
      </c>
      <c r="BD424" s="66"/>
      <c r="BE424" s="66">
        <f t="shared" si="374"/>
        <v>35755</v>
      </c>
      <c r="BF424" s="66"/>
      <c r="BG424" s="144">
        <f t="shared" si="375"/>
        <v>2.7401785043706443E-2</v>
      </c>
      <c r="BH424" s="66"/>
      <c r="BI424" s="170"/>
      <c r="BJ424" s="66"/>
      <c r="BK424" s="66">
        <f t="shared" si="376"/>
        <v>9561991</v>
      </c>
      <c r="BL424" s="66"/>
      <c r="BM424" s="144">
        <f t="shared" si="377"/>
        <v>3.0611093442777765E-2</v>
      </c>
      <c r="BN424" s="65">
        <f t="shared" si="378"/>
        <v>1101914.8746987951</v>
      </c>
      <c r="BO424" s="66"/>
      <c r="BP424" s="66">
        <f t="shared" si="379"/>
        <v>32187781</v>
      </c>
      <c r="BQ424" s="66"/>
      <c r="BR424" s="435">
        <f t="shared" si="380"/>
        <v>7.0387395481425169E-2</v>
      </c>
      <c r="BS424" s="66"/>
      <c r="BT424" s="75"/>
      <c r="BU424" s="170"/>
      <c r="BV424" s="1"/>
      <c r="BW424" s="61">
        <f t="shared" si="189"/>
        <v>415</v>
      </c>
    </row>
    <row r="425" spans="2:75" x14ac:dyDescent="0.3">
      <c r="B425" s="347">
        <f t="shared" si="163"/>
        <v>44325</v>
      </c>
      <c r="C425" s="61"/>
      <c r="D425" s="17">
        <v>22200</v>
      </c>
      <c r="E425" s="16"/>
      <c r="F425" s="16"/>
      <c r="G425" s="16"/>
      <c r="H425" s="16">
        <f t="shared" si="357"/>
        <v>33116959</v>
      </c>
      <c r="I425" s="16"/>
      <c r="J425" s="436">
        <f t="shared" si="358"/>
        <v>6.7080107759660672E-4</v>
      </c>
      <c r="K425" s="16"/>
      <c r="L425" s="16"/>
      <c r="M425" s="16"/>
      <c r="N425" s="577">
        <f t="shared" si="359"/>
        <v>284202</v>
      </c>
      <c r="O425" s="16">
        <f t="shared" si="360"/>
        <v>79608.074519230766</v>
      </c>
      <c r="P425" s="41"/>
      <c r="Q425" s="17">
        <f t="shared" si="361"/>
        <v>284202</v>
      </c>
      <c r="R425" s="16"/>
      <c r="S425" s="60">
        <f t="shared" si="362"/>
        <v>-0.18336513263757989</v>
      </c>
      <c r="T425" s="16"/>
      <c r="U425" s="41"/>
      <c r="V425" s="10">
        <f t="shared" si="356"/>
        <v>317</v>
      </c>
      <c r="W425" s="34">
        <v>241</v>
      </c>
      <c r="X425" s="33">
        <v>4256</v>
      </c>
      <c r="Y425" s="33"/>
      <c r="Z425" s="33">
        <f t="shared" si="363"/>
        <v>4119</v>
      </c>
      <c r="AA425" s="33">
        <f t="shared" si="364"/>
        <v>584193</v>
      </c>
      <c r="AB425" s="33"/>
      <c r="AC425" s="46">
        <f t="shared" si="365"/>
        <v>1.7640297226566001E-2</v>
      </c>
      <c r="AD425" s="33"/>
      <c r="AE425" s="33">
        <f t="shared" si="366"/>
        <v>1404.3100961538462</v>
      </c>
      <c r="AF425" s="50"/>
      <c r="AG425" s="33">
        <f t="shared" si="367"/>
        <v>4579</v>
      </c>
      <c r="AH425" s="33">
        <f t="shared" si="381"/>
        <v>1121994886.060914</v>
      </c>
      <c r="AI425" s="213">
        <f t="shared" si="368"/>
        <v>-6.9498069498069498E-2</v>
      </c>
      <c r="AJ425" s="50"/>
      <c r="AK425" s="111"/>
      <c r="AL425" s="23">
        <f t="shared" si="369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70"/>
        <v>1.2815710566790241E-3</v>
      </c>
      <c r="AS425" s="25"/>
      <c r="AT425" s="25"/>
      <c r="AU425" s="24"/>
      <c r="AV425" s="298">
        <f t="shared" si="371"/>
        <v>0.79837378788312052</v>
      </c>
      <c r="AW425" s="298"/>
      <c r="AX425" s="24">
        <f t="shared" si="372"/>
        <v>63557</v>
      </c>
      <c r="AY425" s="308"/>
      <c r="AZ425" s="111"/>
      <c r="BA425" s="65">
        <f t="shared" si="373"/>
        <v>873630</v>
      </c>
      <c r="BB425" s="66"/>
      <c r="BC425" s="66">
        <v>458168303</v>
      </c>
      <c r="BD425" s="66"/>
      <c r="BE425" s="66">
        <f t="shared" si="374"/>
        <v>22200</v>
      </c>
      <c r="BF425" s="66"/>
      <c r="BG425" s="144">
        <f t="shared" si="375"/>
        <v>2.541121527420075E-2</v>
      </c>
      <c r="BH425" s="66"/>
      <c r="BI425" s="170"/>
      <c r="BJ425" s="66"/>
      <c r="BK425" s="66">
        <f t="shared" si="376"/>
        <v>9183623</v>
      </c>
      <c r="BL425" s="66"/>
      <c r="BM425" s="144">
        <f t="shared" si="377"/>
        <v>3.0946610068814891E-2</v>
      </c>
      <c r="BN425" s="65">
        <f t="shared" si="378"/>
        <v>1101366.1129807692</v>
      </c>
      <c r="BO425" s="66"/>
      <c r="BP425" s="66">
        <f t="shared" si="379"/>
        <v>32209981</v>
      </c>
      <c r="BQ425" s="66"/>
      <c r="BR425" s="435">
        <f t="shared" si="380"/>
        <v>7.0301635423260608E-2</v>
      </c>
      <c r="BS425" s="66"/>
      <c r="BT425" s="75"/>
      <c r="BU425" s="170"/>
      <c r="BV425" s="1"/>
      <c r="BW425" s="61">
        <f t="shared" si="189"/>
        <v>416</v>
      </c>
    </row>
    <row r="426" spans="2:75" x14ac:dyDescent="0.3">
      <c r="B426" s="158">
        <f t="shared" si="163"/>
        <v>44326</v>
      </c>
      <c r="C426" s="61"/>
      <c r="D426" s="17">
        <v>30152</v>
      </c>
      <c r="E426" s="16"/>
      <c r="F426" s="16"/>
      <c r="G426" s="16"/>
      <c r="H426" s="16">
        <f t="shared" si="357"/>
        <v>33147111</v>
      </c>
      <c r="I426" s="16"/>
      <c r="J426" s="436">
        <f t="shared" si="358"/>
        <v>9.1047007063661855E-4</v>
      </c>
      <c r="K426" s="16"/>
      <c r="L426" s="16"/>
      <c r="M426" s="16"/>
      <c r="N426" s="16">
        <f t="shared" si="359"/>
        <v>273900</v>
      </c>
      <c r="O426" s="16">
        <f t="shared" si="360"/>
        <v>79489.474820143878</v>
      </c>
      <c r="P426" s="41"/>
      <c r="Q426" s="17">
        <f t="shared" si="361"/>
        <v>273900</v>
      </c>
      <c r="R426" s="16"/>
      <c r="S426" s="60">
        <f t="shared" si="362"/>
        <v>-0.19680716920712932</v>
      </c>
      <c r="T426" s="16"/>
      <c r="U426" s="41"/>
      <c r="V426" s="10">
        <f t="shared" si="356"/>
        <v>318</v>
      </c>
      <c r="W426" s="34">
        <v>387</v>
      </c>
      <c r="X426" s="33">
        <v>4256</v>
      </c>
      <c r="Y426" s="33"/>
      <c r="Z426" s="33">
        <f t="shared" si="363"/>
        <v>3653</v>
      </c>
      <c r="AA426" s="33">
        <f t="shared" si="364"/>
        <v>584580</v>
      </c>
      <c r="AB426" s="33"/>
      <c r="AC426" s="46">
        <f t="shared" si="365"/>
        <v>1.7635926099260957E-2</v>
      </c>
      <c r="AD426" s="33"/>
      <c r="AE426" s="33">
        <f t="shared" si="366"/>
        <v>1401.8705035971223</v>
      </c>
      <c r="AF426" s="50"/>
      <c r="AG426" s="33">
        <f t="shared" si="367"/>
        <v>4506</v>
      </c>
      <c r="AH426" s="33">
        <f t="shared" si="381"/>
        <v>1121928106.060914</v>
      </c>
      <c r="AI426" s="213">
        <f t="shared" si="368"/>
        <v>-8.5261875761266745E-2</v>
      </c>
      <c r="AJ426" s="50"/>
      <c r="AK426" s="111"/>
      <c r="AL426" s="23">
        <f t="shared" si="369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70"/>
        <v>2.5611095915114355E-3</v>
      </c>
      <c r="AS426" s="25"/>
      <c r="AT426" s="25"/>
      <c r="AU426" s="24"/>
      <c r="AV426" s="298">
        <f t="shared" si="371"/>
        <v>0.79969041645891858</v>
      </c>
      <c r="AW426" s="298"/>
      <c r="AX426" s="24">
        <f t="shared" si="372"/>
        <v>63566.971223021581</v>
      </c>
      <c r="AY426" s="308"/>
      <c r="AZ426" s="111"/>
      <c r="BA426" s="65">
        <f t="shared" si="373"/>
        <v>1252631</v>
      </c>
      <c r="BB426" s="66"/>
      <c r="BC426" s="66">
        <v>459420934</v>
      </c>
      <c r="BD426" s="66"/>
      <c r="BE426" s="66">
        <f t="shared" si="374"/>
        <v>30152</v>
      </c>
      <c r="BF426" s="66"/>
      <c r="BG426" s="144">
        <f t="shared" si="375"/>
        <v>2.4070935494970188E-2</v>
      </c>
      <c r="BH426" s="66"/>
      <c r="BI426" s="170"/>
      <c r="BJ426" s="66"/>
      <c r="BK426" s="66">
        <f t="shared" si="376"/>
        <v>9133746</v>
      </c>
      <c r="BL426" s="66"/>
      <c r="BM426" s="144">
        <f t="shared" si="377"/>
        <v>2.9987696176355244E-2</v>
      </c>
      <c r="BN426" s="65">
        <f t="shared" si="378"/>
        <v>1101728.8585131895</v>
      </c>
      <c r="BO426" s="66"/>
      <c r="BP426" s="66">
        <f t="shared" si="379"/>
        <v>32240133</v>
      </c>
      <c r="BQ426" s="66"/>
      <c r="BR426" s="435">
        <f t="shared" si="380"/>
        <v>7.0175585425108211E-2</v>
      </c>
      <c r="BS426" s="66"/>
      <c r="BT426" s="75"/>
      <c r="BU426" s="170"/>
      <c r="BV426" s="1"/>
      <c r="BW426" s="61">
        <f t="shared" si="189"/>
        <v>417</v>
      </c>
    </row>
    <row r="427" spans="2:75" x14ac:dyDescent="0.3">
      <c r="B427" s="158">
        <f t="shared" si="163"/>
        <v>44327</v>
      </c>
      <c r="C427" s="61"/>
      <c r="D427" s="17">
        <v>34904</v>
      </c>
      <c r="E427" s="16"/>
      <c r="F427" s="16"/>
      <c r="G427" s="16"/>
      <c r="H427" s="16">
        <f t="shared" si="357"/>
        <v>33182015</v>
      </c>
      <c r="I427" s="16"/>
      <c r="J427" s="436">
        <f t="shared" si="358"/>
        <v>1.0530027790355545E-3</v>
      </c>
      <c r="K427" s="16"/>
      <c r="L427" s="16"/>
      <c r="M427" s="16"/>
      <c r="N427" s="16">
        <f t="shared" si="359"/>
        <v>266450</v>
      </c>
      <c r="O427" s="16">
        <f t="shared" si="360"/>
        <v>79382.811004784686</v>
      </c>
      <c r="P427" s="41"/>
      <c r="Q427" s="17">
        <f t="shared" si="361"/>
        <v>266450</v>
      </c>
      <c r="R427" s="16"/>
      <c r="S427" s="60">
        <f t="shared" si="362"/>
        <v>-0.19579744176360156</v>
      </c>
      <c r="T427" s="16"/>
      <c r="U427" s="41"/>
      <c r="V427" s="10">
        <f t="shared" si="356"/>
        <v>319</v>
      </c>
      <c r="W427" s="34">
        <v>743</v>
      </c>
      <c r="X427" s="33">
        <v>4256</v>
      </c>
      <c r="Y427" s="33"/>
      <c r="Z427" s="33">
        <f t="shared" si="363"/>
        <v>3653</v>
      </c>
      <c r="AA427" s="33">
        <f t="shared" si="364"/>
        <v>585323</v>
      </c>
      <c r="AB427" s="33"/>
      <c r="AC427" s="46">
        <f t="shared" si="365"/>
        <v>1.7639766602480289E-2</v>
      </c>
      <c r="AD427" s="33"/>
      <c r="AE427" s="33">
        <f t="shared" si="366"/>
        <v>1400.2942583732058</v>
      </c>
      <c r="AF427" s="50"/>
      <c r="AG427" s="33">
        <f t="shared" si="367"/>
        <v>4396</v>
      </c>
      <c r="AH427" s="33">
        <f t="shared" si="381"/>
        <v>1121880232.060914</v>
      </c>
      <c r="AI427" s="213">
        <f t="shared" si="368"/>
        <v>-0.10175725378013895</v>
      </c>
      <c r="AJ427" s="50"/>
      <c r="AK427" s="111"/>
      <c r="AL427" s="23">
        <f t="shared" si="369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70"/>
        <v>1.9130864719536906E-3</v>
      </c>
      <c r="AS427" s="25"/>
      <c r="AT427" s="25"/>
      <c r="AU427" s="24"/>
      <c r="AV427" s="298">
        <f t="shared" si="371"/>
        <v>0.80037749365130473</v>
      </c>
      <c r="AW427" s="298"/>
      <c r="AX427" s="24">
        <f t="shared" si="372"/>
        <v>63536.215311004788</v>
      </c>
      <c r="AY427" s="308"/>
      <c r="AZ427" s="111"/>
      <c r="BA427" s="65">
        <f t="shared" si="373"/>
        <v>979552</v>
      </c>
      <c r="BB427" s="66"/>
      <c r="BC427" s="66">
        <v>460400486</v>
      </c>
      <c r="BD427" s="66"/>
      <c r="BE427" s="66">
        <f t="shared" si="374"/>
        <v>34904</v>
      </c>
      <c r="BF427" s="66"/>
      <c r="BG427" s="144">
        <f t="shared" si="375"/>
        <v>3.5632615726372871E-2</v>
      </c>
      <c r="BH427" s="66"/>
      <c r="BI427" s="170"/>
      <c r="BJ427" s="66"/>
      <c r="BK427" s="66">
        <f t="shared" si="376"/>
        <v>9154091</v>
      </c>
      <c r="BL427" s="66"/>
      <c r="BM427" s="144">
        <f t="shared" si="377"/>
        <v>2.9107204636702869E-2</v>
      </c>
      <c r="BN427" s="65">
        <f t="shared" si="378"/>
        <v>1101436.5693779904</v>
      </c>
      <c r="BO427" s="66"/>
      <c r="BP427" s="66">
        <f t="shared" si="379"/>
        <v>32275037</v>
      </c>
      <c r="BQ427" s="66"/>
      <c r="BR427" s="435">
        <f t="shared" si="380"/>
        <v>7.0102091508217917E-2</v>
      </c>
      <c r="BS427" s="66"/>
      <c r="BT427" s="75"/>
      <c r="BU427" s="170"/>
      <c r="BV427" s="1"/>
      <c r="BW427" s="61">
        <f t="shared" si="189"/>
        <v>418</v>
      </c>
    </row>
    <row r="428" spans="2:75" x14ac:dyDescent="0.3">
      <c r="B428" s="158">
        <f t="shared" si="163"/>
        <v>44328</v>
      </c>
      <c r="C428" s="61"/>
      <c r="D428" s="17">
        <v>35816</v>
      </c>
      <c r="E428" s="16"/>
      <c r="F428" s="16"/>
      <c r="G428" s="16"/>
      <c r="H428" s="16">
        <f t="shared" si="357"/>
        <v>33217831</v>
      </c>
      <c r="I428" s="16"/>
      <c r="J428" s="436">
        <f t="shared" si="358"/>
        <v>1.079379899020599E-3</v>
      </c>
      <c r="K428" s="16"/>
      <c r="L428" s="16"/>
      <c r="M428" s="16"/>
      <c r="N428" s="16">
        <f t="shared" si="359"/>
        <v>256137</v>
      </c>
      <c r="O428" s="16">
        <f t="shared" si="360"/>
        <v>79278.832935560858</v>
      </c>
      <c r="P428" s="41"/>
      <c r="Q428" s="17">
        <f t="shared" si="361"/>
        <v>256137</v>
      </c>
      <c r="R428" s="16"/>
      <c r="S428" s="60">
        <f t="shared" si="362"/>
        <v>-0.2016849152399742</v>
      </c>
      <c r="T428" s="16"/>
      <c r="U428" s="41"/>
      <c r="V428" s="10">
        <f t="shared" si="356"/>
        <v>320</v>
      </c>
      <c r="W428" s="34">
        <v>841</v>
      </c>
      <c r="X428" s="33">
        <v>4256</v>
      </c>
      <c r="Y428" s="33"/>
      <c r="Z428" s="33">
        <f t="shared" si="363"/>
        <v>3634</v>
      </c>
      <c r="AA428" s="33">
        <f t="shared" si="364"/>
        <v>586164</v>
      </c>
      <c r="AB428" s="33"/>
      <c r="AC428" s="46">
        <f t="shared" si="365"/>
        <v>1.7646064849929546E-2</v>
      </c>
      <c r="AD428" s="33"/>
      <c r="AE428" s="33">
        <f t="shared" si="366"/>
        <v>1398.9594272076372</v>
      </c>
      <c r="AF428" s="50"/>
      <c r="AG428" s="33">
        <f t="shared" si="367"/>
        <v>4494</v>
      </c>
      <c r="AH428" s="33">
        <f t="shared" si="381"/>
        <v>1121823710.060914</v>
      </c>
      <c r="AI428" s="213">
        <f t="shared" si="368"/>
        <v>-4.0358744394618833E-2</v>
      </c>
      <c r="AJ428" s="50"/>
      <c r="AK428" s="111"/>
      <c r="AL428" s="23">
        <f t="shared" si="369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70"/>
        <v>2.3379274556070157E-3</v>
      </c>
      <c r="AS428" s="25"/>
      <c r="AT428" s="25"/>
      <c r="AU428" s="24"/>
      <c r="AV428" s="298">
        <f t="shared" si="371"/>
        <v>0.80138372068904795</v>
      </c>
      <c r="AW428" s="298"/>
      <c r="AX428" s="24">
        <f t="shared" si="372"/>
        <v>63532.766109785203</v>
      </c>
      <c r="AY428" s="308"/>
      <c r="AZ428" s="111"/>
      <c r="BA428" s="65">
        <f t="shared" si="373"/>
        <v>1076057</v>
      </c>
      <c r="BB428" s="66"/>
      <c r="BC428" s="66">
        <v>461476543</v>
      </c>
      <c r="BD428" s="66"/>
      <c r="BE428" s="66">
        <f t="shared" si="374"/>
        <v>35816</v>
      </c>
      <c r="BF428" s="66"/>
      <c r="BG428" s="144">
        <f t="shared" si="375"/>
        <v>3.3284482141745279E-2</v>
      </c>
      <c r="BH428" s="66"/>
      <c r="BI428" s="170"/>
      <c r="BJ428" s="66"/>
      <c r="BK428" s="66">
        <f t="shared" si="376"/>
        <v>8395488</v>
      </c>
      <c r="BL428" s="66"/>
      <c r="BM428" s="144">
        <f t="shared" si="377"/>
        <v>3.0508887631070403E-2</v>
      </c>
      <c r="BN428" s="65">
        <f t="shared" si="378"/>
        <v>1101375.9976133651</v>
      </c>
      <c r="BO428" s="66"/>
      <c r="BP428" s="66">
        <f t="shared" si="379"/>
        <v>32310853</v>
      </c>
      <c r="BQ428" s="66"/>
      <c r="BR428" s="435">
        <f t="shared" si="380"/>
        <v>7.0016241323884579E-2</v>
      </c>
      <c r="BS428" s="66"/>
      <c r="BT428" s="75"/>
      <c r="BU428" s="170"/>
      <c r="BV428" s="1"/>
      <c r="BW428" s="61">
        <f t="shared" si="189"/>
        <v>419</v>
      </c>
    </row>
    <row r="429" spans="2:75" x14ac:dyDescent="0.3">
      <c r="B429" s="158">
        <f t="shared" si="163"/>
        <v>44329</v>
      </c>
      <c r="C429" s="61"/>
      <c r="D429" s="17">
        <v>39825</v>
      </c>
      <c r="E429" s="16"/>
      <c r="F429" s="16"/>
      <c r="G429" s="16"/>
      <c r="H429" s="16">
        <f t="shared" si="357"/>
        <v>33257656</v>
      </c>
      <c r="I429" s="16"/>
      <c r="J429" s="436">
        <f t="shared" si="358"/>
        <v>1.198904287278721E-3</v>
      </c>
      <c r="K429" s="16"/>
      <c r="L429" s="16"/>
      <c r="M429" s="16"/>
      <c r="N429" s="16">
        <f t="shared" si="359"/>
        <v>248143</v>
      </c>
      <c r="O429" s="16">
        <f t="shared" si="360"/>
        <v>79184.89523809524</v>
      </c>
      <c r="P429" s="41"/>
      <c r="Q429" s="17">
        <f t="shared" si="361"/>
        <v>248143</v>
      </c>
      <c r="R429" s="16"/>
      <c r="S429" s="60">
        <f t="shared" si="362"/>
        <v>-0.19797864879103547</v>
      </c>
      <c r="T429" s="16"/>
      <c r="U429" s="41"/>
      <c r="V429" s="10">
        <f t="shared" si="356"/>
        <v>321</v>
      </c>
      <c r="W429" s="34">
        <v>762</v>
      </c>
      <c r="X429" s="33">
        <v>4256</v>
      </c>
      <c r="Y429" s="33"/>
      <c r="Z429" s="33">
        <f t="shared" si="363"/>
        <v>3622</v>
      </c>
      <c r="AA429" s="33">
        <f t="shared" si="364"/>
        <v>586926</v>
      </c>
      <c r="AB429" s="33"/>
      <c r="AC429" s="46">
        <f t="shared" si="365"/>
        <v>1.7647846258317182E-2</v>
      </c>
      <c r="AD429" s="33"/>
      <c r="AE429" s="33">
        <f t="shared" si="366"/>
        <v>1397.4428571428571</v>
      </c>
      <c r="AF429" s="50"/>
      <c r="AG429" s="33">
        <f t="shared" si="367"/>
        <v>4396</v>
      </c>
      <c r="AH429" s="33">
        <f t="shared" si="381"/>
        <v>1121745990.060914</v>
      </c>
      <c r="AI429" s="213">
        <f t="shared" si="368"/>
        <v>-5.9276695912689921E-2</v>
      </c>
      <c r="AJ429" s="50"/>
      <c r="AK429" s="111"/>
      <c r="AL429" s="23">
        <f t="shared" si="369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70"/>
        <v>1.7644476311604984E-3</v>
      </c>
      <c r="AS429" s="25"/>
      <c r="AT429" s="25"/>
      <c r="AU429" s="24"/>
      <c r="AV429" s="298">
        <f t="shared" si="371"/>
        <v>0.80183639520476124</v>
      </c>
      <c r="AW429" s="298"/>
      <c r="AX429" s="24">
        <f t="shared" si="372"/>
        <v>63493.330952380951</v>
      </c>
      <c r="AY429" s="308"/>
      <c r="AZ429" s="111"/>
      <c r="BA429" s="65">
        <f t="shared" si="373"/>
        <v>1318757</v>
      </c>
      <c r="BB429" s="66"/>
      <c r="BC429" s="66">
        <v>462795300</v>
      </c>
      <c r="BD429" s="66"/>
      <c r="BE429" s="66">
        <f t="shared" si="374"/>
        <v>39825</v>
      </c>
      <c r="BF429" s="66"/>
      <c r="BG429" s="144">
        <f t="shared" si="375"/>
        <v>3.0198891835266087E-2</v>
      </c>
      <c r="BH429" s="66"/>
      <c r="BI429" s="170"/>
      <c r="BJ429" s="66"/>
      <c r="BK429" s="66">
        <f t="shared" si="376"/>
        <v>8342098</v>
      </c>
      <c r="BL429" s="66"/>
      <c r="BM429" s="144">
        <f t="shared" si="377"/>
        <v>2.9745874479057906E-2</v>
      </c>
      <c r="BN429" s="65">
        <f t="shared" si="378"/>
        <v>1101893.5714285714</v>
      </c>
      <c r="BO429" s="66"/>
      <c r="BP429" s="66">
        <f t="shared" si="379"/>
        <v>32350678</v>
      </c>
      <c r="BQ429" s="66"/>
      <c r="BR429" s="435">
        <f t="shared" si="380"/>
        <v>6.9902779911550528E-2</v>
      </c>
      <c r="BS429" s="66"/>
      <c r="BT429" s="75"/>
      <c r="BU429" s="170"/>
      <c r="BV429" s="1"/>
      <c r="BW429" s="61">
        <f t="shared" si="189"/>
        <v>420</v>
      </c>
    </row>
    <row r="430" spans="2:75" x14ac:dyDescent="0.3">
      <c r="B430" s="158">
        <f t="shared" si="163"/>
        <v>44330</v>
      </c>
      <c r="C430" s="61"/>
      <c r="D430" s="17">
        <v>39095</v>
      </c>
      <c r="E430" s="16"/>
      <c r="F430" s="16"/>
      <c r="G430" s="16"/>
      <c r="H430" s="16">
        <f t="shared" si="357"/>
        <v>33296751</v>
      </c>
      <c r="I430" s="16"/>
      <c r="J430" s="436">
        <f t="shared" si="358"/>
        <v>1.1755188038507585E-3</v>
      </c>
      <c r="K430" s="16"/>
      <c r="L430" s="16"/>
      <c r="M430" s="16"/>
      <c r="N430" s="16">
        <f t="shared" si="359"/>
        <v>237747</v>
      </c>
      <c r="O430" s="16">
        <f t="shared" si="360"/>
        <v>79089.669833729218</v>
      </c>
      <c r="P430" s="41"/>
      <c r="Q430" s="17">
        <f t="shared" si="361"/>
        <v>237747</v>
      </c>
      <c r="R430" s="16"/>
      <c r="S430" s="60">
        <f t="shared" si="362"/>
        <v>-0.20481166090266303</v>
      </c>
      <c r="T430" s="16"/>
      <c r="U430" s="41"/>
      <c r="V430" s="10">
        <f t="shared" si="356"/>
        <v>322</v>
      </c>
      <c r="W430" s="34">
        <v>733</v>
      </c>
      <c r="X430" s="33">
        <v>4256</v>
      </c>
      <c r="Y430" s="33"/>
      <c r="Z430" s="33">
        <f t="shared" si="363"/>
        <v>3707</v>
      </c>
      <c r="AA430" s="33">
        <f t="shared" si="364"/>
        <v>587659</v>
      </c>
      <c r="AB430" s="33"/>
      <c r="AC430" s="46">
        <f t="shared" si="365"/>
        <v>1.7649139401018435E-2</v>
      </c>
      <c r="AD430" s="33"/>
      <c r="AE430" s="33">
        <f t="shared" si="366"/>
        <v>1395.8646080760095</v>
      </c>
      <c r="AF430" s="50"/>
      <c r="AG430" s="33">
        <f t="shared" si="367"/>
        <v>4355</v>
      </c>
      <c r="AH430" s="33">
        <f t="shared" si="381"/>
        <v>1121667551.060914</v>
      </c>
      <c r="AI430" s="213">
        <f t="shared" si="368"/>
        <v>-6.6051897919794128E-2</v>
      </c>
      <c r="AJ430" s="50"/>
      <c r="AK430" s="111"/>
      <c r="AL430" s="23">
        <f t="shared" si="369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70"/>
        <v>1.71079084833769E-3</v>
      </c>
      <c r="AS430" s="25"/>
      <c r="AT430" s="25"/>
      <c r="AU430" s="24"/>
      <c r="AV430" s="298">
        <f t="shared" si="371"/>
        <v>0.80226509187037498</v>
      </c>
      <c r="AW430" s="298"/>
      <c r="AX430" s="24">
        <f t="shared" si="372"/>
        <v>63450.881235154397</v>
      </c>
      <c r="AY430" s="308"/>
      <c r="AZ430" s="111"/>
      <c r="BA430" s="65">
        <f t="shared" si="373"/>
        <v>1304242</v>
      </c>
      <c r="BB430" s="66"/>
      <c r="BC430" s="66">
        <v>464099542</v>
      </c>
      <c r="BD430" s="66"/>
      <c r="BE430" s="66">
        <f t="shared" si="374"/>
        <v>39095</v>
      </c>
      <c r="BF430" s="66"/>
      <c r="BG430" s="144">
        <f t="shared" si="375"/>
        <v>2.9975265326526824E-2</v>
      </c>
      <c r="BH430" s="66"/>
      <c r="BI430" s="170"/>
      <c r="BJ430" s="66"/>
      <c r="BK430" s="66">
        <f t="shared" si="376"/>
        <v>8109711</v>
      </c>
      <c r="BL430" s="66"/>
      <c r="BM430" s="144">
        <f t="shared" si="377"/>
        <v>2.9316334453841821E-2</v>
      </c>
      <c r="BN430" s="65">
        <f t="shared" si="378"/>
        <v>1102374.2090261283</v>
      </c>
      <c r="BO430" s="66"/>
      <c r="BP430" s="66">
        <f t="shared" si="379"/>
        <v>32389773</v>
      </c>
      <c r="BQ430" s="66"/>
      <c r="BR430" s="435">
        <f t="shared" si="380"/>
        <v>6.9790573074946058E-2</v>
      </c>
      <c r="BS430" s="66"/>
      <c r="BT430" s="75"/>
      <c r="BU430" s="170"/>
      <c r="BV430" s="1"/>
      <c r="BW430" s="61">
        <f t="shared" si="189"/>
        <v>421</v>
      </c>
    </row>
    <row r="431" spans="2:75" x14ac:dyDescent="0.3">
      <c r="B431" s="158">
        <f t="shared" si="163"/>
        <v>44331</v>
      </c>
      <c r="C431" s="61"/>
      <c r="D431" s="17">
        <v>25642</v>
      </c>
      <c r="E431" s="16"/>
      <c r="F431" s="16"/>
      <c r="G431" s="16"/>
      <c r="H431" s="16">
        <f t="shared" si="357"/>
        <v>33322393</v>
      </c>
      <c r="I431" s="16"/>
      <c r="J431" s="436">
        <f t="shared" si="358"/>
        <v>7.7010516731797641E-4</v>
      </c>
      <c r="K431" s="16"/>
      <c r="L431" s="16"/>
      <c r="M431" s="16"/>
      <c r="N431" s="16">
        <f t="shared" si="359"/>
        <v>227634</v>
      </c>
      <c r="O431" s="16">
        <f t="shared" si="360"/>
        <v>78963.016587677732</v>
      </c>
      <c r="P431" s="41"/>
      <c r="Q431" s="17">
        <f t="shared" si="361"/>
        <v>227634</v>
      </c>
      <c r="R431" s="16"/>
      <c r="S431" s="60">
        <f t="shared" si="362"/>
        <v>-0.22230383699517942</v>
      </c>
      <c r="T431" s="16"/>
      <c r="U431" s="41"/>
      <c r="V431" s="10">
        <f t="shared" si="356"/>
        <v>323</v>
      </c>
      <c r="W431" s="34">
        <v>499</v>
      </c>
      <c r="X431" s="33">
        <v>4256</v>
      </c>
      <c r="Y431" s="33"/>
      <c r="Z431" s="33">
        <f t="shared" si="363"/>
        <v>3965</v>
      </c>
      <c r="AA431" s="33">
        <f t="shared" si="364"/>
        <v>588158</v>
      </c>
      <c r="AB431" s="33"/>
      <c r="AC431" s="46">
        <f t="shared" si="365"/>
        <v>1.7650533081462666E-2</v>
      </c>
      <c r="AD431" s="33"/>
      <c r="AE431" s="33">
        <f t="shared" si="366"/>
        <v>1393.739336492891</v>
      </c>
      <c r="AF431" s="50"/>
      <c r="AG431" s="33">
        <f t="shared" si="367"/>
        <v>4206</v>
      </c>
      <c r="AH431" s="33">
        <f t="shared" si="381"/>
        <v>1121593072.060914</v>
      </c>
      <c r="AI431" s="213">
        <f t="shared" si="368"/>
        <v>-9.5483870967741941E-2</v>
      </c>
      <c r="AJ431" s="50"/>
      <c r="AK431" s="111"/>
      <c r="AL431" s="23">
        <f t="shared" si="369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70"/>
        <v>1.4442465660964823E-2</v>
      </c>
      <c r="AS431" s="25"/>
      <c r="AT431" s="25"/>
      <c r="AU431" s="24"/>
      <c r="AV431" s="298">
        <f t="shared" si="371"/>
        <v>0.81322550874422495</v>
      </c>
      <c r="AW431" s="298"/>
      <c r="AX431" s="24">
        <f t="shared" si="372"/>
        <v>64214.739336492894</v>
      </c>
      <c r="AY431" s="308"/>
      <c r="AZ431" s="111"/>
      <c r="BA431" s="65">
        <f t="shared" si="373"/>
        <v>1125402</v>
      </c>
      <c r="BB431" s="66"/>
      <c r="BC431" s="66">
        <v>465224944</v>
      </c>
      <c r="BD431" s="66"/>
      <c r="BE431" s="66">
        <f t="shared" si="374"/>
        <v>25642</v>
      </c>
      <c r="BF431" s="66"/>
      <c r="BG431" s="144">
        <f t="shared" si="375"/>
        <v>2.2784747139244464E-2</v>
      </c>
      <c r="BH431" s="66"/>
      <c r="BI431" s="170"/>
      <c r="BJ431" s="66"/>
      <c r="BK431" s="66">
        <f t="shared" si="376"/>
        <v>7930271</v>
      </c>
      <c r="BL431" s="66"/>
      <c r="BM431" s="144">
        <f t="shared" si="377"/>
        <v>2.8704441500170676E-2</v>
      </c>
      <c r="BN431" s="65">
        <f t="shared" si="378"/>
        <v>1102428.7772511849</v>
      </c>
      <c r="BO431" s="66"/>
      <c r="BP431" s="66">
        <f t="shared" si="379"/>
        <v>32415415</v>
      </c>
      <c r="BQ431" s="66"/>
      <c r="BR431" s="435">
        <f t="shared" si="380"/>
        <v>6.9676863672211001E-2</v>
      </c>
      <c r="BS431" s="66"/>
      <c r="BT431" s="75"/>
      <c r="BU431" s="170"/>
      <c r="BV431" s="1"/>
      <c r="BW431" s="61">
        <f t="shared" si="189"/>
        <v>422</v>
      </c>
    </row>
    <row r="432" spans="2:75" x14ac:dyDescent="0.3">
      <c r="B432" s="347">
        <f t="shared" si="163"/>
        <v>44332</v>
      </c>
      <c r="C432" s="61"/>
      <c r="D432" s="17">
        <v>17834</v>
      </c>
      <c r="E432" s="16"/>
      <c r="F432" s="16"/>
      <c r="G432" s="16"/>
      <c r="H432" s="16">
        <f t="shared" si="357"/>
        <v>33340227</v>
      </c>
      <c r="I432" s="16"/>
      <c r="J432" s="436">
        <f t="shared" si="358"/>
        <v>5.3519565656644165E-4</v>
      </c>
      <c r="K432" s="16"/>
      <c r="L432" s="16"/>
      <c r="M432" s="16"/>
      <c r="N432" s="577">
        <f t="shared" si="359"/>
        <v>223268</v>
      </c>
      <c r="O432" s="16">
        <f t="shared" si="360"/>
        <v>78818.503546099295</v>
      </c>
      <c r="P432" s="41"/>
      <c r="Q432" s="17">
        <f t="shared" si="361"/>
        <v>223268</v>
      </c>
      <c r="R432" s="16"/>
      <c r="S432" s="60">
        <f t="shared" si="362"/>
        <v>-0.21440383952259309</v>
      </c>
      <c r="T432" s="16"/>
      <c r="U432" s="41"/>
      <c r="V432" s="10">
        <f t="shared" si="356"/>
        <v>324</v>
      </c>
      <c r="W432" s="34">
        <v>289</v>
      </c>
      <c r="X432" s="33">
        <v>4256</v>
      </c>
      <c r="Y432" s="33"/>
      <c r="Z432" s="33">
        <f t="shared" si="363"/>
        <v>3867</v>
      </c>
      <c r="AA432" s="33">
        <f t="shared" si="364"/>
        <v>588447</v>
      </c>
      <c r="AB432" s="33"/>
      <c r="AC432" s="46">
        <f t="shared" si="365"/>
        <v>1.7649759853164766E-2</v>
      </c>
      <c r="AD432" s="33"/>
      <c r="AE432" s="33">
        <f t="shared" si="366"/>
        <v>1391.127659574468</v>
      </c>
      <c r="AF432" s="50"/>
      <c r="AG432" s="33">
        <f t="shared" si="367"/>
        <v>4254</v>
      </c>
      <c r="AH432" s="33">
        <f t="shared" si="381"/>
        <v>1121511299.060914</v>
      </c>
      <c r="AI432" s="213">
        <f t="shared" si="368"/>
        <v>-7.0976195675911777E-2</v>
      </c>
      <c r="AJ432" s="50"/>
      <c r="AK432" s="111"/>
      <c r="AL432" s="23">
        <f t="shared" si="369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70"/>
        <v>1.3801440811377112E-3</v>
      </c>
      <c r="AS432" s="25"/>
      <c r="AT432" s="25"/>
      <c r="AU432" s="24"/>
      <c r="AV432" s="298">
        <f t="shared" si="371"/>
        <v>0.8139122748024481</v>
      </c>
      <c r="AW432" s="298"/>
      <c r="AX432" s="24">
        <f t="shared" si="372"/>
        <v>64151.347517730494</v>
      </c>
      <c r="AY432" s="308"/>
      <c r="AZ432" s="111"/>
      <c r="BA432" s="65">
        <f t="shared" si="373"/>
        <v>831508</v>
      </c>
      <c r="BB432" s="66"/>
      <c r="BC432" s="66">
        <v>466056452</v>
      </c>
      <c r="BD432" s="66"/>
      <c r="BE432" s="66">
        <f t="shared" si="374"/>
        <v>17834</v>
      </c>
      <c r="BF432" s="66"/>
      <c r="BG432" s="144">
        <f t="shared" si="375"/>
        <v>2.1447779215593838E-2</v>
      </c>
      <c r="BH432" s="66"/>
      <c r="BI432" s="170"/>
      <c r="BJ432" s="66"/>
      <c r="BK432" s="66">
        <f t="shared" si="376"/>
        <v>7888149</v>
      </c>
      <c r="BL432" s="66"/>
      <c r="BM432" s="144">
        <f t="shared" si="377"/>
        <v>2.8304232082837177E-2</v>
      </c>
      <c r="BN432" s="65">
        <f t="shared" si="378"/>
        <v>1101788.3026004727</v>
      </c>
      <c r="BO432" s="66"/>
      <c r="BP432" s="66">
        <f t="shared" si="379"/>
        <v>32433249</v>
      </c>
      <c r="BQ432" s="66"/>
      <c r="BR432" s="435">
        <f t="shared" si="380"/>
        <v>6.9590816436117059E-2</v>
      </c>
      <c r="BS432" s="66"/>
      <c r="BT432" s="75"/>
      <c r="BU432" s="170"/>
      <c r="BV432" s="1"/>
      <c r="BW432" s="61">
        <f t="shared" si="189"/>
        <v>423</v>
      </c>
    </row>
    <row r="433" spans="2:75" x14ac:dyDescent="0.3">
      <c r="B433" s="158">
        <f t="shared" si="163"/>
        <v>44333</v>
      </c>
      <c r="C433" s="61"/>
      <c r="D433" s="17">
        <v>25030</v>
      </c>
      <c r="E433" s="16"/>
      <c r="F433" s="16"/>
      <c r="G433" s="16"/>
      <c r="H433" s="16">
        <f t="shared" si="357"/>
        <v>33365257</v>
      </c>
      <c r="I433" s="16"/>
      <c r="J433" s="436">
        <f t="shared" si="358"/>
        <v>7.5074473848063485E-4</v>
      </c>
      <c r="K433" s="16"/>
      <c r="L433" s="16"/>
      <c r="M433" s="16"/>
      <c r="N433" s="16">
        <f t="shared" si="359"/>
        <v>218146</v>
      </c>
      <c r="O433" s="16">
        <f t="shared" si="360"/>
        <v>78691.643867924533</v>
      </c>
      <c r="P433" s="41"/>
      <c r="Q433" s="17">
        <f t="shared" si="361"/>
        <v>218146</v>
      </c>
      <c r="R433" s="16"/>
      <c r="S433" s="60">
        <f t="shared" si="362"/>
        <v>-0.20355604235122307</v>
      </c>
      <c r="T433" s="16"/>
      <c r="U433" s="41"/>
      <c r="V433" s="10">
        <f t="shared" si="356"/>
        <v>325</v>
      </c>
      <c r="W433" s="34">
        <v>369</v>
      </c>
      <c r="X433" s="33">
        <v>4256</v>
      </c>
      <c r="Y433" s="33"/>
      <c r="Z433" s="33">
        <f t="shared" si="363"/>
        <v>3493</v>
      </c>
      <c r="AA433" s="33">
        <f t="shared" si="364"/>
        <v>588816</v>
      </c>
      <c r="AB433" s="33"/>
      <c r="AC433" s="46">
        <f t="shared" si="365"/>
        <v>1.7647578737367435E-2</v>
      </c>
      <c r="AD433" s="33"/>
      <c r="AE433" s="33">
        <f t="shared" si="366"/>
        <v>1388.7169811320755</v>
      </c>
      <c r="AF433" s="50"/>
      <c r="AG433" s="33">
        <f t="shared" si="367"/>
        <v>4236</v>
      </c>
      <c r="AH433" s="33">
        <f t="shared" si="381"/>
        <v>1121447718.060914</v>
      </c>
      <c r="AI433" s="213">
        <f t="shared" si="368"/>
        <v>-5.9920106524633823E-2</v>
      </c>
      <c r="AJ433" s="50"/>
      <c r="AK433" s="111"/>
      <c r="AL433" s="23">
        <f t="shared" si="369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70"/>
        <v>2.4428416547452427E-3</v>
      </c>
      <c r="AS433" s="25"/>
      <c r="AT433" s="25"/>
      <c r="AU433" s="24"/>
      <c r="AV433" s="298">
        <f t="shared" si="371"/>
        <v>0.81528846008888822</v>
      </c>
      <c r="AW433" s="298"/>
      <c r="AX433" s="24">
        <f t="shared" si="372"/>
        <v>64156.389150943396</v>
      </c>
      <c r="AY433" s="308"/>
      <c r="AZ433" s="111"/>
      <c r="BA433" s="65">
        <f t="shared" si="373"/>
        <v>1166344</v>
      </c>
      <c r="BB433" s="66"/>
      <c r="BC433" s="66">
        <v>467222796</v>
      </c>
      <c r="BD433" s="66"/>
      <c r="BE433" s="66">
        <f t="shared" si="374"/>
        <v>25030</v>
      </c>
      <c r="BF433" s="66"/>
      <c r="BG433" s="144">
        <f t="shared" si="375"/>
        <v>2.1460220998264664E-2</v>
      </c>
      <c r="BH433" s="66"/>
      <c r="BI433" s="170"/>
      <c r="BJ433" s="66"/>
      <c r="BK433" s="66">
        <f t="shared" si="376"/>
        <v>7801862</v>
      </c>
      <c r="BL433" s="66"/>
      <c r="BM433" s="144">
        <f t="shared" si="377"/>
        <v>2.7960761161886741E-2</v>
      </c>
      <c r="BN433" s="65">
        <f t="shared" si="378"/>
        <v>1101940.5566037735</v>
      </c>
      <c r="BO433" s="66"/>
      <c r="BP433" s="66">
        <f t="shared" si="379"/>
        <v>32458279</v>
      </c>
      <c r="BQ433" s="66"/>
      <c r="BR433" s="435">
        <f t="shared" si="380"/>
        <v>6.9470666409864129E-2</v>
      </c>
      <c r="BS433" s="66"/>
      <c r="BT433" s="75"/>
      <c r="BU433" s="170"/>
      <c r="BV433" s="1"/>
      <c r="BW433" s="61">
        <f t="shared" si="189"/>
        <v>424</v>
      </c>
    </row>
    <row r="434" spans="2:75" x14ac:dyDescent="0.3">
      <c r="B434" s="158">
        <f t="shared" si="163"/>
        <v>44334</v>
      </c>
      <c r="C434" s="61"/>
      <c r="D434" s="17">
        <v>27506</v>
      </c>
      <c r="E434" s="16"/>
      <c r="F434" s="16"/>
      <c r="G434" s="16"/>
      <c r="H434" s="16">
        <f t="shared" si="357"/>
        <v>33392763</v>
      </c>
      <c r="I434" s="16"/>
      <c r="J434" s="436">
        <f t="shared" si="358"/>
        <v>8.243904730001031E-4</v>
      </c>
      <c r="K434" s="16"/>
      <c r="L434" s="16"/>
      <c r="M434" s="16"/>
      <c r="N434" s="16">
        <f t="shared" si="359"/>
        <v>210748</v>
      </c>
      <c r="O434" s="16">
        <f t="shared" si="360"/>
        <v>78571.207058823536</v>
      </c>
      <c r="P434" s="41"/>
      <c r="Q434" s="17">
        <f t="shared" si="361"/>
        <v>210748</v>
      </c>
      <c r="R434" s="16"/>
      <c r="S434" s="60">
        <f t="shared" si="362"/>
        <v>-0.20905235503846875</v>
      </c>
      <c r="T434" s="16"/>
      <c r="U434" s="41"/>
      <c r="V434" s="10">
        <f t="shared" si="356"/>
        <v>326</v>
      </c>
      <c r="W434" s="34">
        <v>733</v>
      </c>
      <c r="X434" s="33">
        <v>4256</v>
      </c>
      <c r="Y434" s="33"/>
      <c r="Z434" s="33">
        <f t="shared" si="363"/>
        <v>3385</v>
      </c>
      <c r="AA434" s="33">
        <f t="shared" si="364"/>
        <v>589549</v>
      </c>
      <c r="AB434" s="33"/>
      <c r="AC434" s="46">
        <f t="shared" si="365"/>
        <v>1.765499308937089E-2</v>
      </c>
      <c r="AD434" s="33"/>
      <c r="AE434" s="33">
        <f t="shared" si="366"/>
        <v>1387.1741176470589</v>
      </c>
      <c r="AF434" s="50"/>
      <c r="AG434" s="33">
        <f t="shared" si="367"/>
        <v>4226</v>
      </c>
      <c r="AH434" s="33">
        <f t="shared" si="381"/>
        <v>1121404537.060914</v>
      </c>
      <c r="AI434" s="213">
        <f t="shared" si="368"/>
        <v>-3.8671519563239311E-2</v>
      </c>
      <c r="AJ434" s="50"/>
      <c r="AK434" s="111"/>
      <c r="AL434" s="23">
        <f t="shared" si="369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70"/>
        <v>1.8755025538457048E-3</v>
      </c>
      <c r="AS434" s="25"/>
      <c r="AT434" s="25"/>
      <c r="AU434" s="24"/>
      <c r="AV434" s="298">
        <f t="shared" si="371"/>
        <v>0.81614471375129993</v>
      </c>
      <c r="AW434" s="298"/>
      <c r="AX434" s="24">
        <f t="shared" si="372"/>
        <v>64125.475294117648</v>
      </c>
      <c r="AY434" s="308"/>
      <c r="AZ434" s="111"/>
      <c r="BA434" s="65">
        <f t="shared" si="373"/>
        <v>845306</v>
      </c>
      <c r="BB434" s="66"/>
      <c r="BC434" s="66">
        <v>468068102</v>
      </c>
      <c r="BD434" s="66"/>
      <c r="BE434" s="66">
        <f t="shared" si="374"/>
        <v>27506</v>
      </c>
      <c r="BF434" s="66"/>
      <c r="BG434" s="144">
        <f t="shared" si="375"/>
        <v>3.2539695684166446E-2</v>
      </c>
      <c r="BH434" s="66"/>
      <c r="BI434" s="170"/>
      <c r="BJ434" s="66"/>
      <c r="BK434" s="66">
        <f t="shared" si="376"/>
        <v>7667616</v>
      </c>
      <c r="BL434" s="66"/>
      <c r="BM434" s="144">
        <f t="shared" si="377"/>
        <v>2.7485466147496172E-2</v>
      </c>
      <c r="BN434" s="65">
        <f t="shared" si="378"/>
        <v>1101336.7105882354</v>
      </c>
      <c r="BO434" s="66"/>
      <c r="BP434" s="66">
        <f t="shared" si="379"/>
        <v>32485785</v>
      </c>
      <c r="BQ434" s="66"/>
      <c r="BR434" s="435">
        <f t="shared" si="380"/>
        <v>6.9403971048640267E-2</v>
      </c>
      <c r="BS434" s="66"/>
      <c r="BT434" s="75"/>
      <c r="BU434" s="170"/>
      <c r="BV434" s="1"/>
      <c r="BW434" s="61">
        <f t="shared" si="189"/>
        <v>425</v>
      </c>
    </row>
    <row r="435" spans="2:75" x14ac:dyDescent="0.3">
      <c r="B435" s="158">
        <f t="shared" si="163"/>
        <v>44335</v>
      </c>
      <c r="C435" s="61"/>
      <c r="D435" s="17">
        <v>28541</v>
      </c>
      <c r="E435" s="16"/>
      <c r="F435" s="16"/>
      <c r="G435" s="16"/>
      <c r="H435" s="16">
        <f t="shared" si="357"/>
        <v>33421304</v>
      </c>
      <c r="I435" s="16"/>
      <c r="J435" s="436">
        <f t="shared" si="358"/>
        <v>8.5470615294697236E-4</v>
      </c>
      <c r="K435" s="16"/>
      <c r="L435" s="16"/>
      <c r="M435" s="16"/>
      <c r="N435" s="16">
        <f t="shared" si="359"/>
        <v>203473</v>
      </c>
      <c r="O435" s="16">
        <f t="shared" si="360"/>
        <v>78453.765258215964</v>
      </c>
      <c r="P435" s="41"/>
      <c r="Q435" s="17">
        <f t="shared" si="361"/>
        <v>203473</v>
      </c>
      <c r="R435" s="16"/>
      <c r="S435" s="60">
        <f t="shared" si="362"/>
        <v>-0.20560871720993062</v>
      </c>
      <c r="T435" s="16"/>
      <c r="U435" s="41"/>
      <c r="V435" s="10">
        <f t="shared" si="356"/>
        <v>327</v>
      </c>
      <c r="W435" s="34">
        <v>636</v>
      </c>
      <c r="X435" s="33">
        <v>4256</v>
      </c>
      <c r="Y435" s="33"/>
      <c r="Z435" s="33">
        <f t="shared" si="363"/>
        <v>3259</v>
      </c>
      <c r="AA435" s="33">
        <f t="shared" si="364"/>
        <v>590185</v>
      </c>
      <c r="AB435" s="33"/>
      <c r="AC435" s="46">
        <f t="shared" si="365"/>
        <v>1.765894592263665E-2</v>
      </c>
      <c r="AD435" s="33"/>
      <c r="AE435" s="33">
        <f t="shared" si="366"/>
        <v>1385.4107981220657</v>
      </c>
      <c r="AF435" s="50"/>
      <c r="AG435" s="33">
        <f t="shared" si="367"/>
        <v>4021</v>
      </c>
      <c r="AH435" s="33">
        <f t="shared" si="381"/>
        <v>1121352887.060914</v>
      </c>
      <c r="AI435" s="213">
        <f t="shared" si="368"/>
        <v>-0.1052514463729417</v>
      </c>
      <c r="AJ435" s="50"/>
      <c r="AK435" s="111"/>
      <c r="AL435" s="23">
        <f t="shared" si="369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70"/>
        <v>1.682473482962282E-3</v>
      </c>
      <c r="AS435" s="25"/>
      <c r="AT435" s="25"/>
      <c r="AU435" s="24"/>
      <c r="AV435" s="298">
        <f t="shared" si="371"/>
        <v>0.81681971475439741</v>
      </c>
      <c r="AW435" s="298"/>
      <c r="AX435" s="24">
        <f t="shared" si="372"/>
        <v>64082.582159624413</v>
      </c>
      <c r="AY435" s="308"/>
      <c r="AZ435" s="111"/>
      <c r="BA435" s="65">
        <f t="shared" si="373"/>
        <v>877500</v>
      </c>
      <c r="BB435" s="66"/>
      <c r="BC435" s="66">
        <v>468945602</v>
      </c>
      <c r="BD435" s="66"/>
      <c r="BE435" s="66">
        <f t="shared" si="374"/>
        <v>28541</v>
      </c>
      <c r="BF435" s="66"/>
      <c r="BG435" s="144">
        <f t="shared" si="375"/>
        <v>3.2525356125356127E-2</v>
      </c>
      <c r="BH435" s="66"/>
      <c r="BI435" s="170"/>
      <c r="BJ435" s="66"/>
      <c r="BK435" s="66">
        <f t="shared" si="376"/>
        <v>7469059</v>
      </c>
      <c r="BL435" s="66"/>
      <c r="BM435" s="144">
        <f t="shared" si="377"/>
        <v>2.7242119790458208E-2</v>
      </c>
      <c r="BN435" s="65">
        <f t="shared" si="378"/>
        <v>1100811.2723004695</v>
      </c>
      <c r="BO435" s="66"/>
      <c r="BP435" s="66">
        <f t="shared" si="379"/>
        <v>32514326</v>
      </c>
      <c r="BQ435" s="66"/>
      <c r="BR435" s="435">
        <f t="shared" si="380"/>
        <v>6.9334963077444536E-2</v>
      </c>
      <c r="BS435" s="66"/>
      <c r="BT435" s="75"/>
      <c r="BU435" s="170"/>
      <c r="BV435" s="1"/>
      <c r="BW435" s="61">
        <f t="shared" si="189"/>
        <v>426</v>
      </c>
    </row>
    <row r="436" spans="2:75" x14ac:dyDescent="0.3">
      <c r="B436" s="158">
        <f t="shared" si="163"/>
        <v>44336</v>
      </c>
      <c r="C436" s="61"/>
      <c r="D436" s="17">
        <v>30214</v>
      </c>
      <c r="E436" s="16"/>
      <c r="F436" s="16"/>
      <c r="G436" s="16"/>
      <c r="H436" s="16">
        <f t="shared" si="357"/>
        <v>33451518</v>
      </c>
      <c r="I436" s="16"/>
      <c r="J436" s="436">
        <f t="shared" si="358"/>
        <v>9.0403414540617566E-4</v>
      </c>
      <c r="K436" s="16"/>
      <c r="L436" s="16"/>
      <c r="M436" s="16"/>
      <c r="N436" s="16">
        <f t="shared" si="359"/>
        <v>193862</v>
      </c>
      <c r="O436" s="16">
        <f t="shared" si="360"/>
        <v>78340.79156908665</v>
      </c>
      <c r="P436" s="41"/>
      <c r="Q436" s="17">
        <f t="shared" si="361"/>
        <v>193862</v>
      </c>
      <c r="R436" s="16"/>
      <c r="S436" s="60">
        <f t="shared" si="362"/>
        <v>-0.2187488665809634</v>
      </c>
      <c r="T436" s="16"/>
      <c r="U436" s="41"/>
      <c r="V436" s="10">
        <f t="shared" si="356"/>
        <v>328</v>
      </c>
      <c r="W436" s="34">
        <v>659</v>
      </c>
      <c r="X436" s="33">
        <v>4256</v>
      </c>
      <c r="Y436" s="33"/>
      <c r="Z436" s="33">
        <f t="shared" si="363"/>
        <v>3185</v>
      </c>
      <c r="AA436" s="33">
        <f t="shared" si="364"/>
        <v>590844</v>
      </c>
      <c r="AB436" s="33"/>
      <c r="AC436" s="46">
        <f t="shared" si="365"/>
        <v>1.7662696204100513E-2</v>
      </c>
      <c r="AD436" s="33"/>
      <c r="AE436" s="33">
        <f t="shared" si="366"/>
        <v>1383.7096018735363</v>
      </c>
      <c r="AF436" s="50"/>
      <c r="AG436" s="33">
        <f t="shared" si="367"/>
        <v>3918</v>
      </c>
      <c r="AH436" s="33">
        <f t="shared" si="381"/>
        <v>1121292570.060914</v>
      </c>
      <c r="AI436" s="213">
        <f t="shared" si="368"/>
        <v>-0.10873521383075523</v>
      </c>
      <c r="AJ436" s="50"/>
      <c r="AK436" s="111"/>
      <c r="AL436" s="23">
        <f t="shared" si="369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70"/>
        <v>2.1784903429333774E-3</v>
      </c>
      <c r="AS436" s="25"/>
      <c r="AT436" s="25"/>
      <c r="AU436" s="24"/>
      <c r="AV436" s="298">
        <f t="shared" si="371"/>
        <v>0.81785977545174482</v>
      </c>
      <c r="AW436" s="298"/>
      <c r="AX436" s="24">
        <f t="shared" si="372"/>
        <v>64071.782201405149</v>
      </c>
      <c r="AY436" s="308"/>
      <c r="AZ436" s="111"/>
      <c r="BA436" s="65">
        <f t="shared" si="373"/>
        <v>1172702</v>
      </c>
      <c r="BB436" s="66"/>
      <c r="BC436" s="66">
        <v>470118304</v>
      </c>
      <c r="BD436" s="66"/>
      <c r="BE436" s="66">
        <f t="shared" si="374"/>
        <v>30214</v>
      </c>
      <c r="BF436" s="66"/>
      <c r="BG436" s="144">
        <f t="shared" si="375"/>
        <v>2.5764431202470874E-2</v>
      </c>
      <c r="BH436" s="66"/>
      <c r="BI436" s="170"/>
      <c r="BJ436" s="66"/>
      <c r="BK436" s="66">
        <f t="shared" si="376"/>
        <v>7323004</v>
      </c>
      <c r="BL436" s="66"/>
      <c r="BM436" s="144">
        <f t="shared" si="377"/>
        <v>2.647301571868594E-2</v>
      </c>
      <c r="BN436" s="65">
        <f t="shared" si="378"/>
        <v>1100979.6346604216</v>
      </c>
      <c r="BO436" s="66"/>
      <c r="BP436" s="66">
        <f t="shared" si="379"/>
        <v>32544540</v>
      </c>
      <c r="BQ436" s="66"/>
      <c r="BR436" s="435">
        <f t="shared" si="380"/>
        <v>6.9226277137254377E-2</v>
      </c>
      <c r="BS436" s="66"/>
      <c r="BT436" s="75"/>
      <c r="BU436" s="170"/>
      <c r="BV436" s="1"/>
      <c r="BW436" s="61">
        <f t="shared" si="189"/>
        <v>427</v>
      </c>
    </row>
    <row r="437" spans="2:75" x14ac:dyDescent="0.3">
      <c r="B437" s="158">
        <f t="shared" si="163"/>
        <v>44337</v>
      </c>
      <c r="C437" s="61"/>
      <c r="D437" s="17">
        <v>29014</v>
      </c>
      <c r="E437" s="16"/>
      <c r="F437" s="16"/>
      <c r="G437" s="16"/>
      <c r="H437" s="16">
        <f t="shared" si="357"/>
        <v>33480532</v>
      </c>
      <c r="I437" s="16"/>
      <c r="J437" s="436">
        <f t="shared" si="358"/>
        <v>8.6734479433788327E-4</v>
      </c>
      <c r="K437" s="16"/>
      <c r="L437" s="16"/>
      <c r="M437" s="16"/>
      <c r="N437" s="16">
        <f t="shared" si="359"/>
        <v>183781</v>
      </c>
      <c r="O437" s="16">
        <f t="shared" si="360"/>
        <v>78225.542056074773</v>
      </c>
      <c r="P437" s="41"/>
      <c r="Q437" s="17">
        <f t="shared" si="361"/>
        <v>183781</v>
      </c>
      <c r="R437" s="16"/>
      <c r="S437" s="60">
        <f t="shared" si="362"/>
        <v>-0.22698919439572318</v>
      </c>
      <c r="T437" s="16"/>
      <c r="U437" s="41"/>
      <c r="V437" s="10">
        <f t="shared" si="356"/>
        <v>329</v>
      </c>
      <c r="W437" s="34">
        <v>657</v>
      </c>
      <c r="X437" s="33">
        <v>4256</v>
      </c>
      <c r="Y437" s="33"/>
      <c r="Z437" s="33">
        <f t="shared" si="363"/>
        <v>3343</v>
      </c>
      <c r="AA437" s="33">
        <f t="shared" si="364"/>
        <v>591501</v>
      </c>
      <c r="AB437" s="33"/>
      <c r="AC437" s="46">
        <f t="shared" si="365"/>
        <v>1.7667013176493135E-2</v>
      </c>
      <c r="AD437" s="33"/>
      <c r="AE437" s="33">
        <f t="shared" si="366"/>
        <v>1382.0116822429907</v>
      </c>
      <c r="AF437" s="50"/>
      <c r="AG437" s="33">
        <f t="shared" si="367"/>
        <v>3842</v>
      </c>
      <c r="AH437" s="33">
        <f t="shared" si="381"/>
        <v>1121227513.060914</v>
      </c>
      <c r="AI437" s="213">
        <f t="shared" si="368"/>
        <v>-0.11779563719862228</v>
      </c>
      <c r="AJ437" s="50"/>
      <c r="AK437" s="111"/>
      <c r="AL437" s="23">
        <f t="shared" si="369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70"/>
        <v>1.4904974664138228E-3</v>
      </c>
      <c r="AS437" s="25"/>
      <c r="AT437" s="25"/>
      <c r="AU437" s="24"/>
      <c r="AV437" s="298">
        <f t="shared" si="371"/>
        <v>0.81836898529569357</v>
      </c>
      <c r="AW437" s="298"/>
      <c r="AX437" s="24">
        <f t="shared" si="372"/>
        <v>64017.357476635516</v>
      </c>
      <c r="AY437" s="308"/>
      <c r="AZ437" s="111"/>
      <c r="BA437" s="65">
        <f t="shared" si="373"/>
        <v>1425608</v>
      </c>
      <c r="BB437" s="66"/>
      <c r="BC437" s="66">
        <v>471543912</v>
      </c>
      <c r="BD437" s="66"/>
      <c r="BE437" s="66">
        <f t="shared" si="374"/>
        <v>29014</v>
      </c>
      <c r="BF437" s="66"/>
      <c r="BG437" s="144">
        <f t="shared" si="375"/>
        <v>2.0352018226609279E-2</v>
      </c>
      <c r="BH437" s="66"/>
      <c r="BI437" s="170"/>
      <c r="BJ437" s="66"/>
      <c r="BK437" s="66">
        <f t="shared" si="376"/>
        <v>7444370</v>
      </c>
      <c r="BL437" s="66"/>
      <c r="BM437" s="144">
        <f t="shared" si="377"/>
        <v>2.4687246872468725E-2</v>
      </c>
      <c r="BN437" s="65">
        <f t="shared" si="378"/>
        <v>1101738.1121495327</v>
      </c>
      <c r="BO437" s="66"/>
      <c r="BP437" s="66">
        <f t="shared" si="379"/>
        <v>32573554</v>
      </c>
      <c r="BQ437" s="66"/>
      <c r="BR437" s="435">
        <f t="shared" si="380"/>
        <v>6.9078516700264381E-2</v>
      </c>
      <c r="BS437" s="66"/>
      <c r="BT437" s="75"/>
      <c r="BU437" s="170"/>
      <c r="BV437" s="1"/>
      <c r="BW437" s="61">
        <f t="shared" si="189"/>
        <v>428</v>
      </c>
    </row>
    <row r="438" spans="2:75" x14ac:dyDescent="0.3">
      <c r="B438" s="158">
        <f t="shared" si="163"/>
        <v>44338</v>
      </c>
      <c r="C438" s="61"/>
      <c r="D438" s="17">
        <v>19639</v>
      </c>
      <c r="E438" s="16"/>
      <c r="F438" s="16"/>
      <c r="G438" s="16"/>
      <c r="H438" s="16">
        <f t="shared" si="357"/>
        <v>33500171</v>
      </c>
      <c r="I438" s="16"/>
      <c r="J438" s="436">
        <f t="shared" si="358"/>
        <v>5.8657968756290965E-4</v>
      </c>
      <c r="K438" s="16"/>
      <c r="L438" s="16"/>
      <c r="M438" s="16"/>
      <c r="N438" s="16">
        <f t="shared" si="359"/>
        <v>177778</v>
      </c>
      <c r="O438" s="16">
        <f t="shared" si="360"/>
        <v>78088.976689976684</v>
      </c>
      <c r="P438" s="41"/>
      <c r="Q438" s="17">
        <f t="shared" si="361"/>
        <v>177778</v>
      </c>
      <c r="R438" s="16"/>
      <c r="S438" s="60">
        <f t="shared" si="362"/>
        <v>-0.21901824859203808</v>
      </c>
      <c r="T438" s="16"/>
      <c r="U438" s="41"/>
      <c r="V438" s="10">
        <f t="shared" si="356"/>
        <v>330</v>
      </c>
      <c r="W438" s="34">
        <v>468</v>
      </c>
      <c r="X438" s="33">
        <v>4256</v>
      </c>
      <c r="Y438" s="33"/>
      <c r="Z438" s="33">
        <f t="shared" si="363"/>
        <v>3522</v>
      </c>
      <c r="AA438" s="33">
        <f t="shared" si="364"/>
        <v>591969</v>
      </c>
      <c r="AB438" s="33"/>
      <c r="AC438" s="46">
        <f t="shared" si="365"/>
        <v>1.7670626218594526E-2</v>
      </c>
      <c r="AD438" s="33"/>
      <c r="AE438" s="33">
        <f t="shared" si="366"/>
        <v>1379.8811188811189</v>
      </c>
      <c r="AF438" s="50"/>
      <c r="AG438" s="33">
        <f t="shared" si="367"/>
        <v>3811</v>
      </c>
      <c r="AH438" s="33">
        <f t="shared" si="381"/>
        <v>1121160443.060914</v>
      </c>
      <c r="AI438" s="213">
        <f t="shared" si="368"/>
        <v>-9.3913456966238706E-2</v>
      </c>
      <c r="AJ438" s="50"/>
      <c r="AK438" s="111"/>
      <c r="AL438" s="23">
        <f t="shared" si="369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70"/>
        <v>2.6209670281814998E-3</v>
      </c>
      <c r="AS438" s="25"/>
      <c r="AT438" s="25"/>
      <c r="AU438" s="24"/>
      <c r="AV438" s="298">
        <f t="shared" si="371"/>
        <v>0.82003288878734382</v>
      </c>
      <c r="AW438" s="298"/>
      <c r="AX438" s="24">
        <f t="shared" si="372"/>
        <v>64035.529137529134</v>
      </c>
      <c r="AY438" s="308"/>
      <c r="AZ438" s="111"/>
      <c r="BA438" s="65">
        <f t="shared" si="373"/>
        <v>994699</v>
      </c>
      <c r="BB438" s="66"/>
      <c r="BC438" s="66">
        <v>472538611</v>
      </c>
      <c r="BD438" s="66"/>
      <c r="BE438" s="66">
        <f t="shared" si="374"/>
        <v>19639</v>
      </c>
      <c r="BF438" s="66"/>
      <c r="BG438" s="144">
        <f t="shared" si="375"/>
        <v>1.9743661147744191E-2</v>
      </c>
      <c r="BH438" s="66"/>
      <c r="BI438" s="170"/>
      <c r="BJ438" s="66"/>
      <c r="BK438" s="66">
        <f t="shared" si="376"/>
        <v>7313667</v>
      </c>
      <c r="BL438" s="66"/>
      <c r="BM438" s="144">
        <f t="shared" si="377"/>
        <v>2.4307642117148621E-2</v>
      </c>
      <c r="BN438" s="65">
        <f t="shared" si="378"/>
        <v>1101488.6037296038</v>
      </c>
      <c r="BO438" s="66"/>
      <c r="BP438" s="66">
        <f t="shared" si="379"/>
        <v>32593193</v>
      </c>
      <c r="BQ438" s="66"/>
      <c r="BR438" s="435">
        <f t="shared" si="380"/>
        <v>6.8974666283936739E-2</v>
      </c>
      <c r="BS438" s="66"/>
      <c r="BT438" s="75"/>
      <c r="BU438" s="170"/>
      <c r="BV438" s="1"/>
      <c r="BW438" s="61">
        <f t="shared" si="189"/>
        <v>429</v>
      </c>
    </row>
    <row r="439" spans="2:75" x14ac:dyDescent="0.3">
      <c r="B439" s="347">
        <f t="shared" si="163"/>
        <v>44339</v>
      </c>
      <c r="C439" s="61"/>
      <c r="D439" s="17">
        <v>13541</v>
      </c>
      <c r="E439" s="16"/>
      <c r="F439" s="16"/>
      <c r="G439" s="16"/>
      <c r="H439" s="16">
        <f t="shared" si="357"/>
        <v>33513712</v>
      </c>
      <c r="I439" s="16"/>
      <c r="J439" s="436">
        <f t="shared" si="358"/>
        <v>4.0420689195884999E-4</v>
      </c>
      <c r="K439" s="16"/>
      <c r="L439" s="16"/>
      <c r="M439" s="16"/>
      <c r="N439" s="7">
        <f t="shared" si="359"/>
        <v>173485</v>
      </c>
      <c r="O439" s="16">
        <f t="shared" si="360"/>
        <v>77938.865116279063</v>
      </c>
      <c r="P439" s="41"/>
      <c r="Q439" s="17">
        <f t="shared" si="361"/>
        <v>173485</v>
      </c>
      <c r="R439" s="16"/>
      <c r="S439" s="60">
        <f t="shared" si="362"/>
        <v>-0.22297418349248438</v>
      </c>
      <c r="T439" s="16"/>
      <c r="U439" s="41"/>
      <c r="V439" s="10">
        <f t="shared" si="356"/>
        <v>331</v>
      </c>
      <c r="W439" s="34">
        <v>228</v>
      </c>
      <c r="X439" s="33">
        <v>4256</v>
      </c>
      <c r="Y439" s="33"/>
      <c r="Z439" s="33">
        <f t="shared" si="363"/>
        <v>3381</v>
      </c>
      <c r="AA439" s="33">
        <f t="shared" si="364"/>
        <v>592197</v>
      </c>
      <c r="AB439" s="33"/>
      <c r="AC439" s="46">
        <f t="shared" si="365"/>
        <v>1.7670289701122933E-2</v>
      </c>
      <c r="AD439" s="33"/>
      <c r="AE439" s="33">
        <f t="shared" si="366"/>
        <v>1377.2023255813954</v>
      </c>
      <c r="AF439" s="50"/>
      <c r="AG439" s="33">
        <f t="shared" si="367"/>
        <v>3750</v>
      </c>
      <c r="AH439" s="33">
        <f t="shared" si="381"/>
        <v>1121093928.060914</v>
      </c>
      <c r="AI439" s="213">
        <f t="shared" si="368"/>
        <v>-0.11847672778561354</v>
      </c>
      <c r="AJ439" s="50"/>
      <c r="AK439" s="111"/>
      <c r="AL439" s="23">
        <f t="shared" si="369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70"/>
        <v>1.128926023803365E-3</v>
      </c>
      <c r="AS439" s="25"/>
      <c r="AT439" s="25"/>
      <c r="AU439" s="24"/>
      <c r="AV439" s="298">
        <f t="shared" si="371"/>
        <v>0.82062694219011012</v>
      </c>
      <c r="AW439" s="298"/>
      <c r="AX439" s="24">
        <f t="shared" si="372"/>
        <v>63958.732558139534</v>
      </c>
      <c r="AY439" s="308"/>
      <c r="AZ439" s="111"/>
      <c r="BA439" s="65">
        <f t="shared" si="373"/>
        <v>766245</v>
      </c>
      <c r="BB439" s="66"/>
      <c r="BC439" s="66">
        <v>473304856</v>
      </c>
      <c r="BD439" s="66"/>
      <c r="BE439" s="66">
        <f t="shared" si="374"/>
        <v>13541</v>
      </c>
      <c r="BF439" s="66"/>
      <c r="BG439" s="144">
        <f t="shared" si="375"/>
        <v>1.7671893454443421E-2</v>
      </c>
      <c r="BH439" s="66"/>
      <c r="BI439" s="170"/>
      <c r="BJ439" s="66"/>
      <c r="BK439" s="66">
        <f t="shared" si="376"/>
        <v>7248404</v>
      </c>
      <c r="BL439" s="66"/>
      <c r="BM439" s="144">
        <f t="shared" si="377"/>
        <v>2.3934234350072098E-2</v>
      </c>
      <c r="BN439" s="65">
        <f t="shared" si="378"/>
        <v>1100708.9674418604</v>
      </c>
      <c r="BO439" s="66"/>
      <c r="BP439" s="66">
        <f t="shared" si="379"/>
        <v>32606734</v>
      </c>
      <c r="BQ439" s="66"/>
      <c r="BR439" s="435">
        <f t="shared" si="380"/>
        <v>6.8891610949370866E-2</v>
      </c>
      <c r="BS439" s="66"/>
      <c r="BT439" s="75"/>
      <c r="BU439" s="170"/>
      <c r="BV439" s="1"/>
      <c r="BW439" s="61">
        <f t="shared" si="189"/>
        <v>430</v>
      </c>
    </row>
    <row r="440" spans="2:75" x14ac:dyDescent="0.3">
      <c r="B440" s="158">
        <f t="shared" si="163"/>
        <v>44340</v>
      </c>
      <c r="C440" s="61"/>
      <c r="D440" s="17">
        <v>20366</v>
      </c>
      <c r="E440" s="16"/>
      <c r="F440" s="16"/>
      <c r="G440" s="16"/>
      <c r="H440" s="16">
        <f t="shared" ref="H440" si="382">+H439+D440</f>
        <v>33534078</v>
      </c>
      <c r="I440" s="16"/>
      <c r="J440" s="436">
        <f t="shared" ref="J440" si="383">+D440/H439</f>
        <v>6.0769156218803814E-4</v>
      </c>
      <c r="K440" s="16"/>
      <c r="L440" s="16"/>
      <c r="M440" s="16"/>
      <c r="N440" s="16">
        <f t="shared" ref="N440" si="384">SUM(D434:D440)</f>
        <v>168821</v>
      </c>
      <c r="O440" s="16">
        <f t="shared" ref="O440" si="385">+H440/BW440</f>
        <v>77805.285382830625</v>
      </c>
      <c r="P440" s="41"/>
      <c r="Q440" s="17">
        <f t="shared" ref="Q440" si="386">SUM(D434:D440)</f>
        <v>168821</v>
      </c>
      <c r="R440" s="16"/>
      <c r="S440" s="60">
        <f t="shared" ref="S440" si="387">+(Q440-Q433)/Q433</f>
        <v>-0.22611003639764193</v>
      </c>
      <c r="T440" s="16"/>
      <c r="U440" s="41"/>
      <c r="V440" s="10">
        <f t="shared" si="356"/>
        <v>332</v>
      </c>
      <c r="W440" s="34">
        <v>365</v>
      </c>
      <c r="X440" s="33">
        <v>4256</v>
      </c>
      <c r="Y440" s="33"/>
      <c r="Z440" s="33">
        <f t="shared" ref="Z440" si="388">SUM(W435:W440)</f>
        <v>3013</v>
      </c>
      <c r="AA440" s="33">
        <f t="shared" ref="AA440" si="389">+AA439+W440</f>
        <v>592562</v>
      </c>
      <c r="AB440" s="33"/>
      <c r="AC440" s="46">
        <f t="shared" ref="AC440" si="390">+AA440/H440</f>
        <v>1.767044258679186E-2</v>
      </c>
      <c r="AD440" s="33"/>
      <c r="AE440" s="33">
        <f t="shared" ref="AE440" si="391">+AA440/BW440</f>
        <v>1374.8538283062644</v>
      </c>
      <c r="AF440" s="50"/>
      <c r="AG440" s="33">
        <f t="shared" ref="AG440" si="392">SUM(W434:W440)</f>
        <v>3746</v>
      </c>
      <c r="AH440" s="33">
        <f t="shared" ref="AH440" si="393">SUM(D411:D859)</f>
        <v>1121040648.060914</v>
      </c>
      <c r="AI440" s="213">
        <f t="shared" ref="AI440" si="394">+(AG440-AG433)/AG433</f>
        <v>-0.11567516525023608</v>
      </c>
      <c r="AJ440" s="50"/>
      <c r="AK440" s="111"/>
      <c r="AL440" s="23">
        <f t="shared" ref="AL440" si="395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96">+AL440/AP439</f>
        <v>2.2425433841697707E-3</v>
      </c>
      <c r="AS440" s="25"/>
      <c r="AT440" s="25"/>
      <c r="AU440" s="24"/>
      <c r="AV440" s="298">
        <f t="shared" ref="AV440" si="397">+AP440/H440</f>
        <v>0.82196773085575814</v>
      </c>
      <c r="AW440" s="298"/>
      <c r="AX440" s="24">
        <f t="shared" ref="AX440" si="398">+AP440/BW440</f>
        <v>63953.433874709975</v>
      </c>
      <c r="AY440" s="308"/>
      <c r="AZ440" s="111"/>
      <c r="BA440" s="65">
        <f t="shared" ref="BA440" si="399">+BC440-BC439</f>
        <v>1063757</v>
      </c>
      <c r="BB440" s="66"/>
      <c r="BC440" s="66">
        <v>474368613</v>
      </c>
      <c r="BD440" s="66"/>
      <c r="BE440" s="66">
        <f t="shared" ref="BE440" si="400">+D440</f>
        <v>20366</v>
      </c>
      <c r="BF440" s="66"/>
      <c r="BG440" s="144">
        <f t="shared" ref="BG440" si="401">+BE440/BA440</f>
        <v>1.9145349924841858E-2</v>
      </c>
      <c r="BH440" s="66"/>
      <c r="BI440" s="170"/>
      <c r="BJ440" s="66"/>
      <c r="BK440" s="66">
        <f t="shared" ref="BK440" si="402">SUM(BA434:BA440)</f>
        <v>7145817</v>
      </c>
      <c r="BL440" s="66"/>
      <c r="BM440" s="144">
        <f t="shared" ref="BM440" si="403">+Q440/BK440</f>
        <v>2.3625150210255873E-2</v>
      </c>
      <c r="BN440" s="65">
        <f t="shared" ref="BN440" si="404">+BC440/BW440</f>
        <v>1100623.2320185616</v>
      </c>
      <c r="BO440" s="66"/>
      <c r="BP440" s="66">
        <f t="shared" ref="BP440" si="405">+BP439+BE440</f>
        <v>32627100</v>
      </c>
      <c r="BQ440" s="66"/>
      <c r="BR440" s="435">
        <f t="shared" ref="BR440" si="406">+BP440/BC440</f>
        <v>6.878005649163807E-2</v>
      </c>
      <c r="BS440" s="66"/>
      <c r="BT440" s="75"/>
      <c r="BU440" s="170"/>
      <c r="BV440" s="1"/>
      <c r="BW440" s="61">
        <f t="shared" si="189"/>
        <v>431</v>
      </c>
    </row>
    <row r="441" spans="2:75" x14ac:dyDescent="0.3">
      <c r="B441" s="158">
        <f t="shared" si="163"/>
        <v>44341</v>
      </c>
      <c r="C441" s="61"/>
      <c r="D441" s="17">
        <v>22738</v>
      </c>
      <c r="E441" s="16"/>
      <c r="F441" s="16"/>
      <c r="G441" s="16"/>
      <c r="H441" s="16">
        <f t="shared" ref="H441" si="407">+H440+D441</f>
        <v>33556816</v>
      </c>
      <c r="I441" s="16"/>
      <c r="J441" s="436">
        <f t="shared" ref="J441" si="408">+D441/H440</f>
        <v>6.780565131386645E-4</v>
      </c>
      <c r="K441" s="16"/>
      <c r="L441" s="16"/>
      <c r="M441" s="16"/>
      <c r="N441" s="16">
        <f t="shared" ref="N441" si="409">SUM(D435:D441)</f>
        <v>164053</v>
      </c>
      <c r="O441" s="16">
        <f t="shared" ref="O441" si="410">+H441/BW441</f>
        <v>77677.814814814818</v>
      </c>
      <c r="P441" s="41"/>
      <c r="Q441" s="17">
        <f t="shared" ref="Q441" si="411">SUM(D435:D441)</f>
        <v>164053</v>
      </c>
      <c r="R441" s="16"/>
      <c r="S441" s="60">
        <f t="shared" ref="S441" si="412">+(Q441-Q434)/Q434</f>
        <v>-0.22156793896027482</v>
      </c>
      <c r="T441" s="16"/>
      <c r="U441" s="41"/>
      <c r="V441" s="10">
        <f t="shared" si="356"/>
        <v>333</v>
      </c>
      <c r="W441" s="34">
        <v>669</v>
      </c>
      <c r="X441" s="33">
        <v>4256</v>
      </c>
      <c r="Y441" s="33"/>
      <c r="Z441" s="33">
        <f t="shared" ref="Z441" si="413">SUM(W436:W441)</f>
        <v>3046</v>
      </c>
      <c r="AA441" s="33">
        <f t="shared" ref="AA441" si="414">+AA440+W441</f>
        <v>593231</v>
      </c>
      <c r="AB441" s="33"/>
      <c r="AC441" s="46">
        <f t="shared" ref="AC441" si="415">+AA441/H441</f>
        <v>1.7678405484000629E-2</v>
      </c>
      <c r="AD441" s="33"/>
      <c r="AE441" s="33">
        <f t="shared" ref="AE441" si="416">+AA441/BW441</f>
        <v>1373.2199074074074</v>
      </c>
      <c r="AF441" s="50"/>
      <c r="AG441" s="33">
        <f t="shared" ref="AG441" si="417">SUM(W435:W441)</f>
        <v>3682</v>
      </c>
      <c r="AH441" s="33">
        <f t="shared" ref="AH441" si="418">SUM(D412:D860)</f>
        <v>1121005912.060914</v>
      </c>
      <c r="AI441" s="213">
        <f t="shared" ref="AI441" si="419">+(AG441-AG434)/AG434</f>
        <v>-0.12872692853762424</v>
      </c>
      <c r="AJ441" s="50"/>
      <c r="AK441" s="111"/>
      <c r="AL441" s="23">
        <f t="shared" ref="AL441" si="420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21">+AL441/AP440</f>
        <v>1.5423054695030789E-3</v>
      </c>
      <c r="AS441" s="25"/>
      <c r="AT441" s="25"/>
      <c r="AU441" s="24"/>
      <c r="AV441" s="298">
        <f t="shared" ref="AV441" si="422">+AP441/H441</f>
        <v>0.82267763425469209</v>
      </c>
      <c r="AW441" s="298"/>
      <c r="AX441" s="24">
        <f t="shared" ref="AX441" si="423">+AP441/BW441</f>
        <v>63903.800925925927</v>
      </c>
      <c r="AY441" s="308"/>
      <c r="AZ441" s="111"/>
      <c r="BA441" s="65">
        <f t="shared" ref="BA441" si="424">+BC441-BC440</f>
        <v>858209</v>
      </c>
      <c r="BB441" s="66"/>
      <c r="BC441" s="66">
        <v>475226822</v>
      </c>
      <c r="BD441" s="66"/>
      <c r="BE441" s="66">
        <f t="shared" ref="BE441" si="425">+D441</f>
        <v>22738</v>
      </c>
      <c r="BF441" s="66"/>
      <c r="BG441" s="144">
        <f t="shared" ref="BG441" si="426">+BE441/BA441</f>
        <v>2.6494711661145479E-2</v>
      </c>
      <c r="BH441" s="66"/>
      <c r="BI441" s="170"/>
      <c r="BJ441" s="66"/>
      <c r="BK441" s="66">
        <f t="shared" ref="BK441" si="427">SUM(BA435:BA441)</f>
        <v>7158720</v>
      </c>
      <c r="BL441" s="66"/>
      <c r="BM441" s="144">
        <f t="shared" ref="BM441" si="428">+Q441/BK441</f>
        <v>2.2916526976889725E-2</v>
      </c>
      <c r="BN441" s="65">
        <f t="shared" ref="BN441" si="429">+BC441/BW441</f>
        <v>1100062.0879629629</v>
      </c>
      <c r="BO441" s="66"/>
      <c r="BP441" s="66">
        <f t="shared" ref="BP441" si="430">+BP440+BE441</f>
        <v>32649838</v>
      </c>
      <c r="BQ441" s="66"/>
      <c r="BR441" s="435">
        <f t="shared" ref="BR441" si="431">+BP441/BC441</f>
        <v>6.8703693664832755E-2</v>
      </c>
      <c r="BS441" s="66"/>
      <c r="BT441" s="75"/>
      <c r="BU441" s="170"/>
      <c r="BV441" s="1"/>
      <c r="BW441" s="61">
        <f t="shared" si="189"/>
        <v>432</v>
      </c>
    </row>
    <row r="442" spans="2:75" x14ac:dyDescent="0.3">
      <c r="B442" s="158">
        <f t="shared" ref="B442:B518" si="432">1+B441</f>
        <v>44342</v>
      </c>
      <c r="C442" s="61"/>
      <c r="D442" s="17">
        <v>23500</v>
      </c>
      <c r="E442" s="16"/>
      <c r="F442" s="16"/>
      <c r="G442" s="16"/>
      <c r="H442" s="16">
        <f t="shared" ref="H442" si="433">+H441+D442</f>
        <v>33580316</v>
      </c>
      <c r="I442" s="16"/>
      <c r="J442" s="436">
        <f t="shared" ref="J442" si="434">+D442/H441</f>
        <v>7.0030482033813933E-4</v>
      </c>
      <c r="K442" s="16"/>
      <c r="L442" s="16"/>
      <c r="M442" s="16"/>
      <c r="N442" s="16">
        <f t="shared" ref="N442" si="435">SUM(D436:D442)</f>
        <v>159012</v>
      </c>
      <c r="O442" s="16">
        <f t="shared" ref="O442" si="436">+H442/BW442</f>
        <v>77552.692840646647</v>
      </c>
      <c r="P442" s="41"/>
      <c r="Q442" s="17">
        <f t="shared" ref="Q442" si="437">SUM(D436:D442)</f>
        <v>159012</v>
      </c>
      <c r="R442" s="16"/>
      <c r="S442" s="60">
        <f t="shared" ref="S442" si="438">+(Q442-Q435)/Q435</f>
        <v>-0.21851056405518177</v>
      </c>
      <c r="T442" s="16"/>
      <c r="U442" s="41"/>
      <c r="V442" s="10">
        <f t="shared" si="356"/>
        <v>334</v>
      </c>
      <c r="W442" s="34">
        <v>607</v>
      </c>
      <c r="X442" s="33">
        <v>4256</v>
      </c>
      <c r="Y442" s="33"/>
      <c r="Z442" s="33">
        <f t="shared" ref="Z442" si="439">SUM(W437:W442)</f>
        <v>2994</v>
      </c>
      <c r="AA442" s="33">
        <f t="shared" ref="AA442" si="440">+AA441+W442</f>
        <v>593838</v>
      </c>
      <c r="AB442" s="33"/>
      <c r="AC442" s="46">
        <f t="shared" ref="AC442" si="441">+AA442/H442</f>
        <v>1.7684109941073813E-2</v>
      </c>
      <c r="AD442" s="33"/>
      <c r="AE442" s="33">
        <f t="shared" ref="AE442" si="442">+AA442/BW442</f>
        <v>1371.4503464203233</v>
      </c>
      <c r="AF442" s="50"/>
      <c r="AG442" s="33">
        <f t="shared" ref="AG442" si="443">SUM(W436:W442)</f>
        <v>3653</v>
      </c>
      <c r="AH442" s="33">
        <f t="shared" ref="AH442" si="444">SUM(D413:D861)</f>
        <v>1120958456.060914</v>
      </c>
      <c r="AI442" s="213">
        <f t="shared" ref="AI442" si="445">+(AG442-AG435)/AG435</f>
        <v>-9.1519522506839091E-2</v>
      </c>
      <c r="AJ442" s="50"/>
      <c r="AK442" s="111"/>
      <c r="AL442" s="23">
        <f t="shared" ref="AL442" si="446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47">+AL442/AP441</f>
        <v>2.0222091640784423E-3</v>
      </c>
      <c r="AS442" s="25"/>
      <c r="AT442" s="25"/>
      <c r="AU442" s="24"/>
      <c r="AV442" s="298">
        <f t="shared" ref="AV442" si="448">+AP442/H442</f>
        <v>0.82376437434358862</v>
      </c>
      <c r="AW442" s="298"/>
      <c r="AX442" s="24">
        <f t="shared" ref="AX442" si="449">+AP442/BW442</f>
        <v>63885.145496535799</v>
      </c>
      <c r="AY442" s="308"/>
      <c r="AZ442" s="111"/>
      <c r="BA442" s="65">
        <f t="shared" ref="BA442" si="450">+BC442-BC441</f>
        <v>913421</v>
      </c>
      <c r="BB442" s="66"/>
      <c r="BC442" s="66">
        <v>476140243</v>
      </c>
      <c r="BD442" s="66"/>
      <c r="BE442" s="66">
        <f t="shared" ref="BE442" si="451">+D442</f>
        <v>23500</v>
      </c>
      <c r="BF442" s="66"/>
      <c r="BG442" s="144">
        <f t="shared" ref="BG442" si="452">+BE442/BA442</f>
        <v>2.5727457546958085E-2</v>
      </c>
      <c r="BH442" s="66"/>
      <c r="BI442" s="170"/>
      <c r="BJ442" s="66"/>
      <c r="BK442" s="66">
        <f t="shared" ref="BK442" si="453">SUM(BA436:BA442)</f>
        <v>7194641</v>
      </c>
      <c r="BL442" s="66"/>
      <c r="BM442" s="144">
        <f t="shared" ref="BM442" si="454">+Q442/BK442</f>
        <v>2.2101450232193655E-2</v>
      </c>
      <c r="BN442" s="65">
        <f t="shared" ref="BN442" si="455">+BC442/BW442</f>
        <v>1099631.0461893764</v>
      </c>
      <c r="BO442" s="66"/>
      <c r="BP442" s="66">
        <f t="shared" ref="BP442" si="456">+BP441+BE442</f>
        <v>32673338</v>
      </c>
      <c r="BQ442" s="66"/>
      <c r="BR442" s="435">
        <f t="shared" ref="BR442" si="457">+BP442/BC442</f>
        <v>6.862124863493213E-2</v>
      </c>
      <c r="BS442" s="66"/>
      <c r="BT442" s="75"/>
      <c r="BU442" s="170"/>
      <c r="BV442" s="1"/>
      <c r="BW442" s="61">
        <f t="shared" si="189"/>
        <v>433</v>
      </c>
    </row>
    <row r="443" spans="2:75" x14ac:dyDescent="0.3">
      <c r="B443" s="158">
        <f t="shared" si="432"/>
        <v>44343</v>
      </c>
      <c r="C443" s="61"/>
      <c r="D443" s="17">
        <v>24393</v>
      </c>
      <c r="E443" s="16"/>
      <c r="F443" s="16"/>
      <c r="G443" s="16"/>
      <c r="H443" s="16">
        <f t="shared" ref="H443" si="458">+H442+D443</f>
        <v>33604709</v>
      </c>
      <c r="I443" s="16"/>
      <c r="J443" s="436">
        <f t="shared" ref="J443" si="459">+D443/H442</f>
        <v>7.2640769669945929E-4</v>
      </c>
      <c r="K443" s="16"/>
      <c r="L443" s="16"/>
      <c r="M443" s="16"/>
      <c r="N443" s="16">
        <f t="shared" ref="N443" si="460">SUM(D437:D443)</f>
        <v>153191</v>
      </c>
      <c r="O443" s="16">
        <f t="shared" ref="O443" si="461">+H443/BW443</f>
        <v>77430.205069124422</v>
      </c>
      <c r="P443" s="41"/>
      <c r="Q443" s="17">
        <f t="shared" ref="Q443" si="462">SUM(D437:D443)</f>
        <v>153191</v>
      </c>
      <c r="R443" s="16"/>
      <c r="S443" s="60">
        <f t="shared" ref="S443" si="463">+(Q443-Q436)/Q436</f>
        <v>-0.20979356449433101</v>
      </c>
      <c r="T443" s="16"/>
      <c r="U443" s="41"/>
      <c r="V443" s="10">
        <f t="shared" si="356"/>
        <v>335</v>
      </c>
      <c r="W443" s="34">
        <v>630</v>
      </c>
      <c r="X443" s="33">
        <v>4256</v>
      </c>
      <c r="Y443" s="33"/>
      <c r="Z443" s="33">
        <f t="shared" ref="Z443" si="464">SUM(W438:W443)</f>
        <v>2967</v>
      </c>
      <c r="AA443" s="33">
        <f t="shared" ref="AA443" si="465">+AA442+W443</f>
        <v>594468</v>
      </c>
      <c r="AB443" s="33"/>
      <c r="AC443" s="46">
        <f t="shared" ref="AC443" si="466">+AA443/H443</f>
        <v>1.7690020764649383E-2</v>
      </c>
      <c r="AD443" s="33"/>
      <c r="AE443" s="33">
        <f t="shared" ref="AE443" si="467">+AA443/BW443</f>
        <v>1369.741935483871</v>
      </c>
      <c r="AF443" s="50"/>
      <c r="AG443" s="33">
        <f t="shared" ref="AG443" si="468">SUM(W437:W443)</f>
        <v>3624</v>
      </c>
      <c r="AH443" s="33">
        <f t="shared" ref="AH443" si="469">SUM(D414:D862)</f>
        <v>1120906410.060914</v>
      </c>
      <c r="AI443" s="213">
        <f t="shared" ref="AI443" si="470">+(AG443-AG436)/AG436</f>
        <v>-7.5038284839203676E-2</v>
      </c>
      <c r="AJ443" s="50"/>
      <c r="AK443" s="111"/>
      <c r="AL443" s="23">
        <f t="shared" ref="AL443" si="471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72">+AL443/AP442</f>
        <v>1.4319505544520066E-3</v>
      </c>
      <c r="AS443" s="25"/>
      <c r="AT443" s="25"/>
      <c r="AU443" s="24"/>
      <c r="AV443" s="298">
        <f t="shared" ref="AV443" si="473">+AP443/H443</f>
        <v>0.82434515353190529</v>
      </c>
      <c r="AW443" s="298"/>
      <c r="AX443" s="24">
        <f t="shared" ref="AX443" si="474">+AP443/BW443</f>
        <v>63829.214285714283</v>
      </c>
      <c r="AY443" s="308"/>
      <c r="AZ443" s="111"/>
      <c r="BA443" s="65">
        <f t="shared" ref="BA443" si="475">+BC443-BC442</f>
        <v>1008406</v>
      </c>
      <c r="BB443" s="66"/>
      <c r="BC443" s="66">
        <v>477148649</v>
      </c>
      <c r="BD443" s="66"/>
      <c r="BE443" s="66">
        <f t="shared" ref="BE443" si="476">+D443</f>
        <v>24393</v>
      </c>
      <c r="BF443" s="66"/>
      <c r="BG443" s="144">
        <f t="shared" ref="BG443" si="477">+BE443/BA443</f>
        <v>2.4189661703718543E-2</v>
      </c>
      <c r="BH443" s="66"/>
      <c r="BI443" s="170"/>
      <c r="BJ443" s="66"/>
      <c r="BK443" s="66">
        <f t="shared" ref="BK443" si="478">SUM(BA437:BA443)</f>
        <v>7030345</v>
      </c>
      <c r="BL443" s="66"/>
      <c r="BM443" s="144">
        <f t="shared" ref="BM443" si="479">+Q443/BK443</f>
        <v>2.1789969055572664E-2</v>
      </c>
      <c r="BN443" s="65">
        <f t="shared" ref="BN443" si="480">+BC443/BW443</f>
        <v>1099420.8502304147</v>
      </c>
      <c r="BO443" s="66"/>
      <c r="BP443" s="66">
        <f t="shared" ref="BP443" si="481">+BP442+BE443</f>
        <v>32697731</v>
      </c>
      <c r="BQ443" s="66"/>
      <c r="BR443" s="435">
        <f t="shared" ref="BR443" si="482">+BP443/BC443</f>
        <v>6.8527346914902407E-2</v>
      </c>
      <c r="BS443" s="66"/>
      <c r="BT443" s="75"/>
      <c r="BU443" s="170"/>
      <c r="BV443" s="1"/>
      <c r="BW443" s="61">
        <f t="shared" si="189"/>
        <v>434</v>
      </c>
    </row>
    <row r="444" spans="2:75" x14ac:dyDescent="0.3">
      <c r="B444" s="158">
        <f t="shared" si="432"/>
        <v>44344</v>
      </c>
      <c r="C444" s="61"/>
      <c r="D444" s="17">
        <v>22813</v>
      </c>
      <c r="E444" s="16"/>
      <c r="F444" s="16"/>
      <c r="G444" s="16"/>
      <c r="H444" s="16">
        <f t="shared" ref="H444" si="483">+H443+D444</f>
        <v>33627522</v>
      </c>
      <c r="I444" s="16"/>
      <c r="J444" s="436">
        <f t="shared" ref="J444" si="484">+D444/H443</f>
        <v>6.7886319146521991E-4</v>
      </c>
      <c r="K444" s="16"/>
      <c r="L444" s="16"/>
      <c r="M444" s="16"/>
      <c r="N444" s="16">
        <f t="shared" ref="N444" si="485">SUM(D438:D444)</f>
        <v>146990</v>
      </c>
      <c r="O444" s="16">
        <f t="shared" ref="O444" si="486">+H444/BW444</f>
        <v>77304.64827586207</v>
      </c>
      <c r="P444" s="41"/>
      <c r="Q444" s="17">
        <f t="shared" ref="Q444" si="487">SUM(D438:D444)</f>
        <v>146990</v>
      </c>
      <c r="R444" s="16"/>
      <c r="S444" s="60">
        <f t="shared" ref="S444" si="488">+(Q444-Q437)/Q437</f>
        <v>-0.20018935580936006</v>
      </c>
      <c r="T444" s="16"/>
      <c r="U444" s="41"/>
      <c r="V444" s="10">
        <f t="shared" si="356"/>
        <v>336</v>
      </c>
      <c r="W444" s="34">
        <v>627</v>
      </c>
      <c r="X444" s="33">
        <v>4256</v>
      </c>
      <c r="Y444" s="33"/>
      <c r="Z444" s="33">
        <f t="shared" ref="Z444" si="489">SUM(W439:W444)</f>
        <v>3126</v>
      </c>
      <c r="AA444" s="33">
        <f t="shared" ref="AA444" si="490">+AA443+W444</f>
        <v>595095</v>
      </c>
      <c r="AB444" s="33"/>
      <c r="AC444" s="46">
        <f t="shared" ref="AC444" si="491">+AA444/H444</f>
        <v>1.7696665249375198E-2</v>
      </c>
      <c r="AD444" s="33"/>
      <c r="AE444" s="33">
        <f t="shared" ref="AE444" si="492">+AA444/BW444</f>
        <v>1368.0344827586207</v>
      </c>
      <c r="AF444" s="50"/>
      <c r="AG444" s="33">
        <f t="shared" ref="AG444" si="493">SUM(W438:W444)</f>
        <v>3594</v>
      </c>
      <c r="AH444" s="33">
        <f t="shared" ref="AH444" si="494">SUM(D415:D863)</f>
        <v>1120849806.060914</v>
      </c>
      <c r="AI444" s="213">
        <f t="shared" ref="AI444" si="495">+(AG444-AG437)/AG437</f>
        <v>-6.4549713690786048E-2</v>
      </c>
      <c r="AJ444" s="50"/>
      <c r="AK444" s="111"/>
      <c r="AL444" s="23">
        <f t="shared" ref="AL444" si="496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97">+AL444/AP443</f>
        <v>2.3522231109304897E-3</v>
      </c>
      <c r="AS444" s="25"/>
      <c r="AT444" s="25"/>
      <c r="AU444" s="24"/>
      <c r="AV444" s="298">
        <f t="shared" ref="AV444" si="498">+AP444/H444</f>
        <v>0.82572364386528396</v>
      </c>
      <c r="AW444" s="298"/>
      <c r="AX444" s="24">
        <f t="shared" ref="AX444" si="499">+AP444/BW444</f>
        <v>63832.275862068964</v>
      </c>
      <c r="AY444" s="308"/>
      <c r="AZ444" s="111"/>
      <c r="BA444" s="65">
        <f t="shared" ref="BA444" si="500">+BC444-BC443</f>
        <v>992768</v>
      </c>
      <c r="BB444" s="66"/>
      <c r="BC444" s="66">
        <v>478141417</v>
      </c>
      <c r="BD444" s="66"/>
      <c r="BE444" s="66">
        <f t="shared" ref="BE444" si="501">+D444</f>
        <v>22813</v>
      </c>
      <c r="BF444" s="66"/>
      <c r="BG444" s="144">
        <f t="shared" ref="BG444" si="502">+BE444/BA444</f>
        <v>2.297918546931408E-2</v>
      </c>
      <c r="BH444" s="66"/>
      <c r="BI444" s="170"/>
      <c r="BJ444" s="66"/>
      <c r="BK444" s="66">
        <f t="shared" ref="BK444" si="503">SUM(BA438:BA444)</f>
        <v>6597505</v>
      </c>
      <c r="BL444" s="66"/>
      <c r="BM444" s="144">
        <f t="shared" ref="BM444" si="504">+Q444/BK444</f>
        <v>2.2279634498192879E-2</v>
      </c>
      <c r="BN444" s="65">
        <f t="shared" ref="BN444" si="505">+BC444/BW444</f>
        <v>1099175.6712643679</v>
      </c>
      <c r="BO444" s="66"/>
      <c r="BP444" s="66">
        <f t="shared" ref="BP444" si="506">+BP443+BE444</f>
        <v>32720544</v>
      </c>
      <c r="BQ444" s="66"/>
      <c r="BR444" s="435">
        <f t="shared" ref="BR444" si="507">+BP444/BC444</f>
        <v>6.8432774983807773E-2</v>
      </c>
      <c r="BS444" s="66"/>
      <c r="BT444" s="75"/>
      <c r="BU444" s="170"/>
      <c r="BV444" s="1"/>
      <c r="BW444" s="61">
        <f t="shared" si="189"/>
        <v>435</v>
      </c>
    </row>
    <row r="445" spans="2:75" x14ac:dyDescent="0.3">
      <c r="B445" s="158">
        <f t="shared" si="432"/>
        <v>44345</v>
      </c>
      <c r="C445" s="61"/>
      <c r="D445" s="17">
        <v>12661</v>
      </c>
      <c r="E445" s="16"/>
      <c r="F445" s="16"/>
      <c r="G445" s="16"/>
      <c r="H445" s="16">
        <f t="shared" ref="H445" si="508">+H444+D445</f>
        <v>33640183</v>
      </c>
      <c r="I445" s="16"/>
      <c r="J445" s="436">
        <f t="shared" ref="J445" si="509">+D445/H444</f>
        <v>3.7650707655473395E-4</v>
      </c>
      <c r="K445" s="16"/>
      <c r="L445" s="16"/>
      <c r="M445" s="16"/>
      <c r="N445" s="16">
        <f t="shared" ref="N445" si="510">SUM(D439:D445)</f>
        <v>140012</v>
      </c>
      <c r="O445" s="16">
        <f t="shared" ref="O445" si="511">+H445/BW445</f>
        <v>77156.383027522941</v>
      </c>
      <c r="P445" s="41"/>
      <c r="Q445" s="17">
        <f t="shared" ref="Q445" si="512">SUM(D439:D445)</f>
        <v>140012</v>
      </c>
      <c r="R445" s="16"/>
      <c r="S445" s="60">
        <f t="shared" ref="S445" si="513">+(Q445-Q438)/Q438</f>
        <v>-0.21243348445814442</v>
      </c>
      <c r="T445" s="16"/>
      <c r="U445" s="41"/>
      <c r="V445" s="10">
        <f t="shared" si="356"/>
        <v>337</v>
      </c>
      <c r="W445" s="34">
        <v>350</v>
      </c>
      <c r="X445" s="33">
        <v>4256</v>
      </c>
      <c r="Y445" s="33"/>
      <c r="Z445" s="33">
        <f t="shared" ref="Z445" si="514">SUM(W440:W445)</f>
        <v>3248</v>
      </c>
      <c r="AA445" s="33">
        <f t="shared" ref="AA445" si="515">+AA444+W445</f>
        <v>595445</v>
      </c>
      <c r="AB445" s="33"/>
      <c r="AC445" s="46">
        <f t="shared" ref="AC445" si="516">+AA445/H445</f>
        <v>1.770040906138947E-2</v>
      </c>
      <c r="AD445" s="33"/>
      <c r="AE445" s="33">
        <f t="shared" ref="AE445" si="517">+AA445/BW445</f>
        <v>1365.6995412844037</v>
      </c>
      <c r="AF445" s="50"/>
      <c r="AG445" s="33">
        <f t="shared" ref="AG445" si="518">SUM(W439:W445)</f>
        <v>3476</v>
      </c>
      <c r="AH445" s="33">
        <f t="shared" ref="AH445" si="519">SUM(D416:D864)</f>
        <v>1120790537.060914</v>
      </c>
      <c r="AI445" s="213">
        <f t="shared" ref="AI445" si="520">+(AG445-AG438)/AG438</f>
        <v>-8.7903437418000524E-2</v>
      </c>
      <c r="AJ445" s="50"/>
      <c r="AK445" s="111"/>
      <c r="AL445" s="23">
        <f t="shared" ref="AL445" si="521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22">+AL445/AP444</f>
        <v>1.8698788203567972E-3</v>
      </c>
      <c r="AS445" s="25"/>
      <c r="AT445" s="25"/>
      <c r="AU445" s="24"/>
      <c r="AV445" s="298">
        <f t="shared" ref="AV445" si="523">+AP445/H445</f>
        <v>0.82695629212242994</v>
      </c>
      <c r="AW445" s="298"/>
      <c r="AX445" s="24">
        <f t="shared" ref="AX445" si="524">+AP445/BW445</f>
        <v>63804.956422018346</v>
      </c>
      <c r="AY445" s="308"/>
      <c r="AZ445" s="111"/>
      <c r="BA445" s="65">
        <f t="shared" ref="BA445" si="525">+BC445-BC444</f>
        <v>775719</v>
      </c>
      <c r="BB445" s="66"/>
      <c r="BC445" s="66">
        <v>478917136</v>
      </c>
      <c r="BD445" s="66"/>
      <c r="BE445" s="66">
        <f t="shared" ref="BE445" si="526">+D445</f>
        <v>12661</v>
      </c>
      <c r="BF445" s="66"/>
      <c r="BG445" s="144">
        <f t="shared" ref="BG445" si="527">+BE445/BA445</f>
        <v>1.6321631931150327E-2</v>
      </c>
      <c r="BH445" s="66"/>
      <c r="BI445" s="170"/>
      <c r="BJ445" s="66"/>
      <c r="BK445" s="66">
        <f t="shared" ref="BK445" si="528">SUM(BA439:BA445)</f>
        <v>6378525</v>
      </c>
      <c r="BL445" s="66"/>
      <c r="BM445" s="144">
        <f t="shared" ref="BM445" si="529">+Q445/BK445</f>
        <v>2.1950529315162989E-2</v>
      </c>
      <c r="BN445" s="65">
        <f t="shared" ref="BN445" si="530">+BC445/BW445</f>
        <v>1098433.7981651376</v>
      </c>
      <c r="BO445" s="66"/>
      <c r="BP445" s="66">
        <f t="shared" ref="BP445" si="531">+BP444+BE445</f>
        <v>32733205</v>
      </c>
      <c r="BQ445" s="66"/>
      <c r="BR445" s="435">
        <f t="shared" ref="BR445" si="532">+BP445/BC445</f>
        <v>6.8348368724897746E-2</v>
      </c>
      <c r="BS445" s="66"/>
      <c r="BT445" s="75"/>
      <c r="BU445" s="170"/>
      <c r="BV445" s="1"/>
      <c r="BW445" s="61">
        <f t="shared" si="189"/>
        <v>436</v>
      </c>
    </row>
    <row r="446" spans="2:75" x14ac:dyDescent="0.3">
      <c r="B446" s="347">
        <f t="shared" si="432"/>
        <v>44346</v>
      </c>
      <c r="C446" s="61"/>
      <c r="D446" s="17">
        <v>7750</v>
      </c>
      <c r="E446" s="16"/>
      <c r="F446" s="16"/>
      <c r="G446" s="16"/>
      <c r="H446" s="16">
        <f t="shared" ref="H446" si="533">+H445+D446</f>
        <v>33647933</v>
      </c>
      <c r="I446" s="16"/>
      <c r="J446" s="436">
        <f t="shared" ref="J446" si="534">+D446/H445</f>
        <v>2.3037924615332801E-4</v>
      </c>
      <c r="K446" s="16"/>
      <c r="L446" s="16"/>
      <c r="M446" s="16"/>
      <c r="N446" s="16">
        <f t="shared" ref="N446" si="535">SUM(D440:D446)</f>
        <v>134221</v>
      </c>
      <c r="O446" s="16">
        <f t="shared" ref="O446" si="536">+H446/BW446</f>
        <v>76997.558352402746</v>
      </c>
      <c r="P446" s="41"/>
      <c r="Q446" s="17">
        <f t="shared" ref="Q446" si="537">SUM(D440:D446)</f>
        <v>134221</v>
      </c>
      <c r="R446" s="16"/>
      <c r="S446" s="60">
        <f t="shared" ref="S446" si="538">+(Q446-Q439)/Q439</f>
        <v>-0.2263250425108799</v>
      </c>
      <c r="T446" s="16"/>
      <c r="U446" s="41"/>
      <c r="V446" s="10">
        <f t="shared" si="356"/>
        <v>338</v>
      </c>
      <c r="W446" s="34">
        <v>124</v>
      </c>
      <c r="X446" s="33">
        <v>4256</v>
      </c>
      <c r="Y446" s="33"/>
      <c r="Z446" s="33">
        <f t="shared" ref="Z446" si="539">SUM(W441:W446)</f>
        <v>3007</v>
      </c>
      <c r="AA446" s="33">
        <f t="shared" ref="AA446" si="540">+AA445+W446</f>
        <v>595569</v>
      </c>
      <c r="AB446" s="33"/>
      <c r="AC446" s="46">
        <f t="shared" ref="AC446" si="541">+AA446/H446</f>
        <v>1.7700017412659495E-2</v>
      </c>
      <c r="AD446" s="33"/>
      <c r="AE446" s="33">
        <f t="shared" ref="AE446" si="542">+AA446/BW446</f>
        <v>1362.8581235697941</v>
      </c>
      <c r="AF446" s="50"/>
      <c r="AG446" s="33">
        <f t="shared" ref="AG446" si="543">SUM(W440:W446)</f>
        <v>3372</v>
      </c>
      <c r="AH446" s="33">
        <f t="shared" ref="AH446" si="544">SUM(D417:D865)</f>
        <v>1120730631.060914</v>
      </c>
      <c r="AI446" s="213">
        <f t="shared" ref="AI446" si="545">+(AG446-AG439)/AG439</f>
        <v>-0.1008</v>
      </c>
      <c r="AJ446" s="50"/>
      <c r="AK446" s="111"/>
      <c r="AL446" s="23">
        <f t="shared" ref="AL446" si="546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47">+AL446/AP445</f>
        <v>7.880596259508038E-4</v>
      </c>
      <c r="AS446" s="25"/>
      <c r="AT446" s="25"/>
      <c r="AU446" s="24"/>
      <c r="AV446" s="298">
        <f t="shared" ref="AV446" si="548">+AP446/H446</f>
        <v>0.82741736320028925</v>
      </c>
      <c r="AW446" s="298"/>
      <c r="AX446" s="24">
        <f t="shared" ref="AX446" si="549">+AP446/BW446</f>
        <v>63709.116704805492</v>
      </c>
      <c r="AY446" s="308"/>
      <c r="AZ446" s="111"/>
      <c r="BA446" s="65">
        <f t="shared" ref="BA446" si="550">+BC446-BC445</f>
        <v>573759</v>
      </c>
      <c r="BB446" s="66"/>
      <c r="BC446" s="66">
        <v>479490895</v>
      </c>
      <c r="BD446" s="66"/>
      <c r="BE446" s="66">
        <f t="shared" ref="BE446" si="551">+D446</f>
        <v>7750</v>
      </c>
      <c r="BF446" s="66"/>
      <c r="BG446" s="144">
        <f t="shared" ref="BG446" si="552">+BE446/BA446</f>
        <v>1.350741339133678E-2</v>
      </c>
      <c r="BH446" s="66"/>
      <c r="BI446" s="170"/>
      <c r="BJ446" s="66"/>
      <c r="BK446" s="66">
        <f t="shared" ref="BK446" si="553">SUM(BA440:BA446)</f>
        <v>6186039</v>
      </c>
      <c r="BL446" s="66"/>
      <c r="BM446" s="144">
        <f t="shared" ref="BM446" si="554">+Q446/BK446</f>
        <v>2.1697406046098319E-2</v>
      </c>
      <c r="BN446" s="65">
        <f t="shared" ref="BN446" si="555">+BC446/BW446</f>
        <v>1097233.1693363844</v>
      </c>
      <c r="BO446" s="66"/>
      <c r="BP446" s="66">
        <f t="shared" ref="BP446" si="556">+BP445+BE446</f>
        <v>32740955</v>
      </c>
      <c r="BQ446" s="66"/>
      <c r="BR446" s="435">
        <f t="shared" ref="BR446" si="557">+BP446/BC446</f>
        <v>6.8282746015437892E-2</v>
      </c>
      <c r="BS446" s="66"/>
      <c r="BT446" s="75"/>
      <c r="BU446" s="170"/>
      <c r="BV446" s="1"/>
      <c r="BW446" s="61">
        <f t="shared" si="189"/>
        <v>437</v>
      </c>
    </row>
    <row r="447" spans="2:75" x14ac:dyDescent="0.3">
      <c r="B447" s="158">
        <f t="shared" si="432"/>
        <v>44347</v>
      </c>
      <c r="C447" s="61"/>
      <c r="D447" s="17">
        <v>5235</v>
      </c>
      <c r="E447" s="16"/>
      <c r="F447" s="16"/>
      <c r="G447" s="16"/>
      <c r="H447" s="16">
        <f t="shared" ref="H447" si="558">+H446+D447</f>
        <v>33653168</v>
      </c>
      <c r="I447" s="16"/>
      <c r="J447" s="436">
        <f t="shared" ref="J447" si="559">+D447/H446</f>
        <v>1.5558162220544126E-4</v>
      </c>
      <c r="K447" s="16"/>
      <c r="L447" s="16"/>
      <c r="M447" s="16"/>
      <c r="N447" s="16">
        <f t="shared" ref="N447" si="560">SUM(D441:D447)</f>
        <v>119090</v>
      </c>
      <c r="O447" s="16">
        <f t="shared" ref="O447" si="561">+H447/BW447</f>
        <v>76833.716894977173</v>
      </c>
      <c r="P447" s="41"/>
      <c r="Q447" s="17">
        <f t="shared" ref="Q447" si="562">SUM(D441:D447)</f>
        <v>119090</v>
      </c>
      <c r="R447" s="16"/>
      <c r="S447" s="60">
        <f t="shared" ref="S447" si="563">+(Q447-Q440)/Q440</f>
        <v>-0.2945782811380101</v>
      </c>
      <c r="T447" s="16"/>
      <c r="U447" s="41"/>
      <c r="V447" s="10">
        <f t="shared" si="356"/>
        <v>339</v>
      </c>
      <c r="W447" s="34">
        <v>115</v>
      </c>
      <c r="X447" s="33">
        <v>4256</v>
      </c>
      <c r="Y447" s="33"/>
      <c r="Z447" s="33">
        <f t="shared" ref="Z447" si="564">SUM(W442:W447)</f>
        <v>2453</v>
      </c>
      <c r="AA447" s="33">
        <f t="shared" ref="AA447" si="565">+AA446+W447</f>
        <v>595684</v>
      </c>
      <c r="AB447" s="33"/>
      <c r="AC447" s="46">
        <f t="shared" ref="AC447" si="566">+AA447/H447</f>
        <v>1.770068125532788E-2</v>
      </c>
      <c r="AD447" s="33"/>
      <c r="AE447" s="33">
        <f t="shared" ref="AE447" si="567">+AA447/BW447</f>
        <v>1360.0091324200914</v>
      </c>
      <c r="AF447" s="50"/>
      <c r="AG447" s="33">
        <f t="shared" ref="AG447" si="568">SUM(W441:W447)</f>
        <v>3122</v>
      </c>
      <c r="AH447" s="33">
        <f t="shared" ref="AH447" si="569">SUM(D418:D866)</f>
        <v>1120688597.060914</v>
      </c>
      <c r="AI447" s="213">
        <f t="shared" ref="AI447" si="570">+(AG447-AG440)/AG440</f>
        <v>-0.16657768286171917</v>
      </c>
      <c r="AJ447" s="50"/>
      <c r="AK447" s="111"/>
      <c r="AL447" s="23">
        <f t="shared" ref="AL447" si="571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72">+AL447/AP446</f>
        <v>8.2454278391447624E-4</v>
      </c>
      <c r="AS447" s="25"/>
      <c r="AT447" s="25"/>
      <c r="AU447" s="24"/>
      <c r="AV447" s="298">
        <f t="shared" ref="AV447" si="573">+AP447/H447</f>
        <v>0.82797078717819372</v>
      </c>
      <c r="AW447" s="298"/>
      <c r="AX447" s="24">
        <f t="shared" ref="AX447" si="574">+AP447/BW447</f>
        <v>63616.07305936073</v>
      </c>
      <c r="AY447" s="308"/>
      <c r="AZ447" s="111"/>
      <c r="BA447" s="65">
        <f t="shared" ref="BA447" si="575">+BC447-BC446</f>
        <v>439228</v>
      </c>
      <c r="BB447" s="66"/>
      <c r="BC447" s="66">
        <v>479930123</v>
      </c>
      <c r="BD447" s="66"/>
      <c r="BE447" s="66">
        <f t="shared" ref="BE447" si="576">+D447</f>
        <v>5235</v>
      </c>
      <c r="BF447" s="66"/>
      <c r="BG447" s="144">
        <f t="shared" ref="BG447" si="577">+BE447/BA447</f>
        <v>1.1918639066726164E-2</v>
      </c>
      <c r="BH447" s="66"/>
      <c r="BI447" s="170"/>
      <c r="BJ447" s="66"/>
      <c r="BK447" s="66">
        <f t="shared" ref="BK447" si="578">SUM(BA441:BA447)</f>
        <v>5561510</v>
      </c>
      <c r="BL447" s="66"/>
      <c r="BM447" s="144">
        <f t="shared" ref="BM447" si="579">+Q447/BK447</f>
        <v>2.1413249279422314E-2</v>
      </c>
      <c r="BN447" s="65">
        <f t="shared" ref="BN447" si="580">+BC447/BW447</f>
        <v>1095730.8744292238</v>
      </c>
      <c r="BO447" s="66"/>
      <c r="BP447" s="66">
        <f t="shared" ref="BP447" si="581">+BP446+BE447</f>
        <v>32746190</v>
      </c>
      <c r="BQ447" s="66"/>
      <c r="BR447" s="435">
        <f t="shared" ref="BR447" si="582">+BP447/BC447</f>
        <v>6.8231162060231845E-2</v>
      </c>
      <c r="BS447" s="66"/>
      <c r="BT447" s="75"/>
      <c r="BU447" s="170"/>
      <c r="BV447" s="1"/>
      <c r="BW447" s="61">
        <f t="shared" si="189"/>
        <v>438</v>
      </c>
    </row>
    <row r="448" spans="2:75" x14ac:dyDescent="0.3">
      <c r="B448" s="158">
        <f t="shared" si="432"/>
        <v>44348</v>
      </c>
      <c r="C448" s="61"/>
      <c r="D448" s="17">
        <v>12976</v>
      </c>
      <c r="E448" s="16"/>
      <c r="F448" s="16"/>
      <c r="G448" s="16"/>
      <c r="H448" s="16">
        <f t="shared" ref="H448" si="583">+H447+D448</f>
        <v>33666144</v>
      </c>
      <c r="I448" s="16"/>
      <c r="J448" s="436">
        <f t="shared" ref="J448" si="584">+D448/H447</f>
        <v>3.855803412029441E-4</v>
      </c>
      <c r="K448" s="16"/>
      <c r="L448" s="16"/>
      <c r="M448" s="16"/>
      <c r="N448" s="16">
        <f t="shared" ref="N448" si="585">SUM(D442:D448)</f>
        <v>109328</v>
      </c>
      <c r="O448" s="16">
        <f t="shared" ref="O448" si="586">+H448/BW448</f>
        <v>76688.255125284733</v>
      </c>
      <c r="P448" s="41"/>
      <c r="Q448" s="17">
        <f t="shared" ref="Q448" si="587">SUM(D442:D448)</f>
        <v>109328</v>
      </c>
      <c r="R448" s="16"/>
      <c r="S448" s="60">
        <f t="shared" ref="S448" si="588">+(Q448-Q441)/Q441</f>
        <v>-0.33358122070306545</v>
      </c>
      <c r="T448" s="16"/>
      <c r="U448" s="41"/>
      <c r="V448" s="10">
        <f t="shared" si="356"/>
        <v>340</v>
      </c>
      <c r="W448" s="34">
        <v>287</v>
      </c>
      <c r="X448" s="33">
        <v>4256</v>
      </c>
      <c r="Y448" s="33"/>
      <c r="Z448" s="33">
        <f t="shared" ref="Z448" si="589">SUM(W443:W448)</f>
        <v>2133</v>
      </c>
      <c r="AA448" s="33">
        <f t="shared" ref="AA448" si="590">+AA447+W448</f>
        <v>595971</v>
      </c>
      <c r="AB448" s="33"/>
      <c r="AC448" s="46">
        <f t="shared" ref="AC448" si="591">+AA448/H448</f>
        <v>1.7702383736016812E-2</v>
      </c>
      <c r="AD448" s="33"/>
      <c r="AE448" s="33">
        <f t="shared" ref="AE448" si="592">+AA448/BW448</f>
        <v>1357.5649202733484</v>
      </c>
      <c r="AF448" s="50"/>
      <c r="AG448" s="33">
        <f t="shared" ref="AG448" si="593">SUM(W442:W448)</f>
        <v>2740</v>
      </c>
      <c r="AH448" s="33">
        <f t="shared" ref="AH448" si="594">SUM(D419:D867)</f>
        <v>1120657896.060914</v>
      </c>
      <c r="AI448" s="213">
        <f t="shared" ref="AI448" si="595">+(AG448-AG441)/AG441</f>
        <v>-0.25583921781640412</v>
      </c>
      <c r="AJ448" s="50"/>
      <c r="AK448" s="111"/>
      <c r="AL448" s="23">
        <f t="shared" ref="AL448" si="596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97">+AL448/AP447</f>
        <v>2.7662375322281495E-3</v>
      </c>
      <c r="AS448" s="25"/>
      <c r="AT448" s="25"/>
      <c r="AU448" s="24"/>
      <c r="AV448" s="298">
        <f t="shared" ref="AV448" si="598">+AP448/H448</f>
        <v>0.82994114205654201</v>
      </c>
      <c r="AW448" s="298"/>
      <c r="AX448" s="24">
        <f t="shared" ref="AX448" si="599">+AP448/BW448</f>
        <v>63646.738041002282</v>
      </c>
      <c r="AY448" s="308"/>
      <c r="AZ448" s="111"/>
      <c r="BA448" s="65">
        <f t="shared" ref="BA448" si="600">+BC448-BC447</f>
        <v>1018663</v>
      </c>
      <c r="BB448" s="66"/>
      <c r="BC448" s="66">
        <v>480948786</v>
      </c>
      <c r="BD448" s="66"/>
      <c r="BE448" s="66">
        <f t="shared" ref="BE448" si="601">+D448</f>
        <v>12976</v>
      </c>
      <c r="BF448" s="66"/>
      <c r="BG448" s="144">
        <f t="shared" ref="BG448" si="602">+BE448/BA448</f>
        <v>1.2738265746375396E-2</v>
      </c>
      <c r="BH448" s="66"/>
      <c r="BI448" s="170"/>
      <c r="BJ448" s="66"/>
      <c r="BK448" s="66">
        <f t="shared" ref="BK448" si="603">SUM(BA442:BA448)</f>
        <v>5721964</v>
      </c>
      <c r="BL448" s="66"/>
      <c r="BM448" s="144">
        <f t="shared" ref="BM448" si="604">+Q448/BK448</f>
        <v>1.91067262918816E-2</v>
      </c>
      <c r="BN448" s="65">
        <f t="shared" ref="BN448" si="605">+BC448/BW448</f>
        <v>1095555.3211845104</v>
      </c>
      <c r="BO448" s="66"/>
      <c r="BP448" s="66">
        <f t="shared" ref="BP448" si="606">+BP447+BE448</f>
        <v>32759166</v>
      </c>
      <c r="BQ448" s="66"/>
      <c r="BR448" s="435">
        <f t="shared" ref="BR448" si="607">+BP448/BC448</f>
        <v>6.8113626551497317E-2</v>
      </c>
      <c r="BS448" s="66"/>
      <c r="BT448" s="75"/>
      <c r="BU448" s="170"/>
      <c r="BV448" s="1"/>
      <c r="BW448" s="61">
        <f t="shared" si="189"/>
        <v>439</v>
      </c>
    </row>
    <row r="449" spans="2:75" x14ac:dyDescent="0.3">
      <c r="B449" s="158">
        <f t="shared" si="432"/>
        <v>44349</v>
      </c>
      <c r="C449" s="61"/>
      <c r="D449" s="17">
        <v>16974</v>
      </c>
      <c r="E449" s="16"/>
      <c r="F449" s="16"/>
      <c r="G449" s="16"/>
      <c r="H449" s="16">
        <f t="shared" ref="H449" si="608">+H448+D449</f>
        <v>33683118</v>
      </c>
      <c r="I449" s="16"/>
      <c r="J449" s="436">
        <f t="shared" ref="J449" si="609">+D449/H448</f>
        <v>5.0418604518533518E-4</v>
      </c>
      <c r="K449" s="16"/>
      <c r="L449" s="16"/>
      <c r="M449" s="16"/>
      <c r="N449" s="16">
        <f t="shared" ref="N449" si="610">SUM(D443:D449)</f>
        <v>102802</v>
      </c>
      <c r="O449" s="16">
        <f t="shared" ref="O449" si="611">+H449/BW449</f>
        <v>76552.540909090909</v>
      </c>
      <c r="P449" s="41"/>
      <c r="Q449" s="17">
        <f t="shared" ref="Q449" si="612">SUM(D443:D449)</f>
        <v>102802</v>
      </c>
      <c r="R449" s="16"/>
      <c r="S449" s="60">
        <f t="shared" ref="S449" si="613">+(Q449-Q442)/Q442</f>
        <v>-0.35349533368550801</v>
      </c>
      <c r="T449" s="16"/>
      <c r="U449" s="41"/>
      <c r="V449" s="10">
        <f t="shared" si="356"/>
        <v>341</v>
      </c>
      <c r="W449" s="34">
        <v>514</v>
      </c>
      <c r="X449" s="33">
        <v>4256</v>
      </c>
      <c r="Y449" s="33"/>
      <c r="Z449" s="33">
        <f t="shared" ref="Z449" si="614">SUM(W444:W449)</f>
        <v>2017</v>
      </c>
      <c r="AA449" s="33">
        <f t="shared" ref="AA449" si="615">+AA448+W449</f>
        <v>596485</v>
      </c>
      <c r="AB449" s="33"/>
      <c r="AC449" s="46">
        <f t="shared" ref="AC449" si="616">+AA449/H449</f>
        <v>1.7708722808856353E-2</v>
      </c>
      <c r="AD449" s="33"/>
      <c r="AE449" s="33">
        <f t="shared" ref="AE449" si="617">+AA449/BW449</f>
        <v>1355.6477272727273</v>
      </c>
      <c r="AF449" s="50"/>
      <c r="AG449" s="33">
        <f t="shared" ref="AG449" si="618">SUM(W443:W449)</f>
        <v>2647</v>
      </c>
      <c r="AH449" s="33">
        <f t="shared" ref="AH449" si="619">SUM(D420:D868)</f>
        <v>1120617442.060914</v>
      </c>
      <c r="AI449" s="213">
        <f t="shared" ref="AI449" si="620">+(AG449-AG442)/AG442</f>
        <v>-0.27539009033670958</v>
      </c>
      <c r="AJ449" s="50"/>
      <c r="AK449" s="111"/>
      <c r="AL449" s="23">
        <f t="shared" ref="AL449" si="621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22">+AL449/AP448</f>
        <v>1.6317645683652914E-3</v>
      </c>
      <c r="AS449" s="25"/>
      <c r="AT449" s="25"/>
      <c r="AU449" s="24"/>
      <c r="AV449" s="298">
        <f t="shared" ref="AV449" si="623">+AP449/H449</f>
        <v>0.83087649427229393</v>
      </c>
      <c r="AW449" s="298"/>
      <c r="AX449" s="24">
        <f t="shared" ref="AX449" si="624">+AP449/BW449</f>
        <v>63605.706818181818</v>
      </c>
      <c r="AY449" s="308"/>
      <c r="AZ449" s="111"/>
      <c r="BA449" s="65">
        <f t="shared" ref="BA449" si="625">+BC449-BC448</f>
        <v>659207</v>
      </c>
      <c r="BB449" s="66"/>
      <c r="BC449" s="66">
        <v>481607993</v>
      </c>
      <c r="BD449" s="66"/>
      <c r="BE449" s="66">
        <f t="shared" ref="BE449" si="626">+D449</f>
        <v>16974</v>
      </c>
      <c r="BF449" s="66"/>
      <c r="BG449" s="144">
        <f t="shared" ref="BG449" si="627">+BE449/BA449</f>
        <v>2.5749119775730536E-2</v>
      </c>
      <c r="BH449" s="66"/>
      <c r="BI449" s="170"/>
      <c r="BJ449" s="66"/>
      <c r="BK449" s="66">
        <f t="shared" ref="BK449" si="628">SUM(BA443:BA449)</f>
        <v>5467750</v>
      </c>
      <c r="BL449" s="66"/>
      <c r="BM449" s="144">
        <f t="shared" ref="BM449" si="629">+Q449/BK449</f>
        <v>1.8801517991861368E-2</v>
      </c>
      <c r="BN449" s="65">
        <f t="shared" ref="BN449" si="630">+BC449/BW449</f>
        <v>1094563.6204545454</v>
      </c>
      <c r="BO449" s="66"/>
      <c r="BP449" s="66">
        <f t="shared" ref="BP449" si="631">+BP448+BE449</f>
        <v>32776140</v>
      </c>
      <c r="BQ449" s="66"/>
      <c r="BR449" s="435">
        <f t="shared" ref="BR449" si="632">+BP449/BC449</f>
        <v>6.8055639599818682E-2</v>
      </c>
      <c r="BS449" s="66"/>
      <c r="BT449" s="75"/>
      <c r="BU449" s="170"/>
      <c r="BV449" s="1"/>
      <c r="BW449" s="61">
        <f t="shared" si="189"/>
        <v>440</v>
      </c>
    </row>
    <row r="450" spans="2:75" x14ac:dyDescent="0.3">
      <c r="B450" s="158">
        <f t="shared" si="432"/>
        <v>44350</v>
      </c>
      <c r="C450" s="61"/>
      <c r="D450" s="17">
        <v>17821</v>
      </c>
      <c r="E450" s="16"/>
      <c r="F450" s="16"/>
      <c r="G450" s="16"/>
      <c r="H450" s="16">
        <f t="shared" ref="H450" si="633">+H449+D450</f>
        <v>33700939</v>
      </c>
      <c r="I450" s="16"/>
      <c r="J450" s="436">
        <f t="shared" ref="J450" si="634">+D450/H449</f>
        <v>5.2907809781742884E-4</v>
      </c>
      <c r="K450" s="16"/>
      <c r="L450" s="16"/>
      <c r="M450" s="16"/>
      <c r="N450" s="16">
        <f t="shared" ref="N450" si="635">SUM(D444:D450)</f>
        <v>96230</v>
      </c>
      <c r="O450" s="16">
        <f t="shared" ref="O450" si="636">+H450/BW450</f>
        <v>76419.36281179139</v>
      </c>
      <c r="P450" s="41"/>
      <c r="Q450" s="17">
        <f t="shared" ref="Q450" si="637">SUM(D444:D450)</f>
        <v>96230</v>
      </c>
      <c r="R450" s="16"/>
      <c r="S450" s="60">
        <f t="shared" ref="S450" si="638">+(Q450-Q443)/Q443</f>
        <v>-0.37182993779007906</v>
      </c>
      <c r="T450" s="16"/>
      <c r="U450" s="41"/>
      <c r="V450" s="10">
        <f t="shared" si="356"/>
        <v>342</v>
      </c>
      <c r="W450" s="34">
        <v>574</v>
      </c>
      <c r="X450" s="33">
        <v>4256</v>
      </c>
      <c r="Y450" s="33"/>
      <c r="Z450" s="33">
        <f t="shared" ref="Z450" si="639">SUM(W445:W450)</f>
        <v>1964</v>
      </c>
      <c r="AA450" s="33">
        <f t="shared" ref="AA450" si="640">+AA449+W450</f>
        <v>597059</v>
      </c>
      <c r="AB450" s="33"/>
      <c r="AC450" s="46">
        <f t="shared" ref="AC450" si="641">+AA450/H450</f>
        <v>1.7716390632320365E-2</v>
      </c>
      <c r="AD450" s="33"/>
      <c r="AE450" s="33">
        <f t="shared" ref="AE450" si="642">+AA450/BW450</f>
        <v>1353.875283446712</v>
      </c>
      <c r="AF450" s="50"/>
      <c r="AG450" s="33">
        <f t="shared" ref="AG450" si="643">SUM(W444:W450)</f>
        <v>2591</v>
      </c>
      <c r="AH450" s="33">
        <f t="shared" ref="AH450" si="644">SUM(D421:D869)</f>
        <v>1120575088.060914</v>
      </c>
      <c r="AI450" s="213">
        <f t="shared" ref="AI450" si="645">+(AG450-AG443)/AG443</f>
        <v>-0.28504415011037526</v>
      </c>
      <c r="AJ450" s="50"/>
      <c r="AK450" s="111"/>
      <c r="AL450" s="23">
        <f t="shared" ref="AL450" si="646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47">+AL450/AP449</f>
        <v>1.3958152911593732E-3</v>
      </c>
      <c r="AS450" s="25"/>
      <c r="AT450" s="25"/>
      <c r="AU450" s="24"/>
      <c r="AV450" s="298">
        <f t="shared" ref="AV450" si="648">+AP450/H450</f>
        <v>0.83159626501801631</v>
      </c>
      <c r="AW450" s="298"/>
      <c r="AX450" s="24">
        <f t="shared" ref="AX450" si="649">+AP450/BW450</f>
        <v>63550.056689342404</v>
      </c>
      <c r="AY450" s="308"/>
      <c r="AZ450" s="111"/>
      <c r="BA450" s="65">
        <f t="shared" ref="BA450" si="650">+BC450-BC449</f>
        <v>782831</v>
      </c>
      <c r="BB450" s="66"/>
      <c r="BC450" s="66">
        <v>482390824</v>
      </c>
      <c r="BD450" s="66"/>
      <c r="BE450" s="66">
        <f t="shared" ref="BE450" si="651">+D450</f>
        <v>17821</v>
      </c>
      <c r="BF450" s="66"/>
      <c r="BG450" s="144">
        <f t="shared" ref="BG450" si="652">+BE450/BA450</f>
        <v>2.2764811306654947E-2</v>
      </c>
      <c r="BH450" s="66"/>
      <c r="BI450" s="170"/>
      <c r="BJ450" s="66"/>
      <c r="BK450" s="66">
        <f t="shared" ref="BK450" si="653">SUM(BA444:BA450)</f>
        <v>5242175</v>
      </c>
      <c r="BL450" s="66"/>
      <c r="BM450" s="144">
        <f t="shared" ref="BM450" si="654">+Q450/BK450</f>
        <v>1.835688430851698E-2</v>
      </c>
      <c r="BN450" s="65">
        <f t="shared" ref="BN450" si="655">+BC450/BW450</f>
        <v>1093856.7437641723</v>
      </c>
      <c r="BO450" s="66"/>
      <c r="BP450" s="66">
        <f t="shared" ref="BP450" si="656">+BP449+BE450</f>
        <v>32793961</v>
      </c>
      <c r="BQ450" s="66"/>
      <c r="BR450" s="435">
        <f t="shared" ref="BR450" si="657">+BP450/BC450</f>
        <v>6.7982140970409499E-2</v>
      </c>
      <c r="BS450" s="66"/>
      <c r="BT450" s="75"/>
      <c r="BU450" s="170"/>
      <c r="BV450" s="1"/>
      <c r="BW450" s="61">
        <f t="shared" si="189"/>
        <v>441</v>
      </c>
    </row>
    <row r="451" spans="2:75" x14ac:dyDescent="0.3">
      <c r="B451" s="158">
        <f t="shared" si="432"/>
        <v>44351</v>
      </c>
      <c r="C451" s="61"/>
      <c r="D451" s="17">
        <v>16925</v>
      </c>
      <c r="E451" s="16"/>
      <c r="F451" s="16"/>
      <c r="G451" s="16"/>
      <c r="H451" s="16">
        <f t="shared" ref="H451" si="658">+H450+D451</f>
        <v>33717864</v>
      </c>
      <c r="I451" s="16"/>
      <c r="J451" s="436">
        <f t="shared" ref="J451" si="659">+D451/H450</f>
        <v>5.0221152591623636E-4</v>
      </c>
      <c r="K451" s="16"/>
      <c r="L451" s="16"/>
      <c r="M451" s="16"/>
      <c r="N451" s="16">
        <f t="shared" ref="N451" si="660">SUM(D445:D451)</f>
        <v>90342</v>
      </c>
      <c r="O451" s="16">
        <f t="shared" ref="O451" si="661">+H451/BW451</f>
        <v>76284.760180995479</v>
      </c>
      <c r="P451" s="41"/>
      <c r="Q451" s="17">
        <f t="shared" ref="Q451" si="662">SUM(D445:D451)</f>
        <v>90342</v>
      </c>
      <c r="R451" s="16"/>
      <c r="S451" s="60">
        <f t="shared" ref="S451" si="663">+(Q451-Q444)/Q444</f>
        <v>-0.38538676100414992</v>
      </c>
      <c r="T451" s="16"/>
      <c r="U451" s="41"/>
      <c r="V451" s="10">
        <f t="shared" si="356"/>
        <v>343</v>
      </c>
      <c r="W451" s="34">
        <v>520</v>
      </c>
      <c r="X451" s="33">
        <v>4256</v>
      </c>
      <c r="Y451" s="33"/>
      <c r="Z451" s="33">
        <f t="shared" ref="Z451" si="664">SUM(W446:W451)</f>
        <v>2134</v>
      </c>
      <c r="AA451" s="33">
        <f t="shared" ref="AA451" si="665">+AA450+W451</f>
        <v>597579</v>
      </c>
      <c r="AB451" s="33"/>
      <c r="AC451" s="46">
        <f t="shared" ref="AC451" si="666">+AA451/H451</f>
        <v>1.7722919814849483E-2</v>
      </c>
      <c r="AD451" s="33"/>
      <c r="AE451" s="33">
        <f t="shared" ref="AE451" si="667">+AA451/BW451</f>
        <v>1351.9886877828055</v>
      </c>
      <c r="AF451" s="50"/>
      <c r="AG451" s="33">
        <f t="shared" ref="AG451" si="668">SUM(W445:W451)</f>
        <v>2484</v>
      </c>
      <c r="AH451" s="33">
        <f t="shared" ref="AH451" si="669">SUM(D422:D870)</f>
        <v>1120528959.060914</v>
      </c>
      <c r="AI451" s="213">
        <f t="shared" ref="AI451" si="670">+(AG451-AG444)/AG444</f>
        <v>-0.30884808013355591</v>
      </c>
      <c r="AJ451" s="50"/>
      <c r="AK451" s="111"/>
      <c r="AL451" s="23">
        <f t="shared" ref="AL451" si="671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72">+AL451/AP450</f>
        <v>1.0497554465876257E-3</v>
      </c>
      <c r="AS451" s="25"/>
      <c r="AT451" s="25"/>
      <c r="AU451" s="24"/>
      <c r="AV451" s="298">
        <f t="shared" ref="AV451" si="673">+AP451/H451</f>
        <v>0.8320513719374395</v>
      </c>
      <c r="AW451" s="298"/>
      <c r="AX451" s="24">
        <f t="shared" ref="AX451" si="674">+AP451/BW451</f>
        <v>63472.839366515836</v>
      </c>
      <c r="AY451" s="308"/>
      <c r="AZ451" s="111"/>
      <c r="BA451" s="65">
        <f t="shared" ref="BA451" si="675">+BC451-BC450</f>
        <v>973509</v>
      </c>
      <c r="BB451" s="66"/>
      <c r="BC451" s="66">
        <v>483364333</v>
      </c>
      <c r="BD451" s="66"/>
      <c r="BE451" s="66">
        <f t="shared" ref="BE451" si="676">+D451</f>
        <v>16925</v>
      </c>
      <c r="BF451" s="66"/>
      <c r="BG451" s="144">
        <f t="shared" ref="BG451" si="677">+BE451/BA451</f>
        <v>1.7385560893633238E-2</v>
      </c>
      <c r="BH451" s="66"/>
      <c r="BI451" s="170"/>
      <c r="BJ451" s="66"/>
      <c r="BK451" s="66">
        <f t="shared" ref="BK451" si="678">SUM(BA445:BA451)</f>
        <v>5222916</v>
      </c>
      <c r="BL451" s="66"/>
      <c r="BM451" s="144">
        <f t="shared" ref="BM451" si="679">+Q451/BK451</f>
        <v>1.7297233958960857E-2</v>
      </c>
      <c r="BN451" s="65">
        <f t="shared" ref="BN451" si="680">+BC451/BW451</f>
        <v>1093584.463800905</v>
      </c>
      <c r="BO451" s="66"/>
      <c r="BP451" s="66">
        <f t="shared" ref="BP451" si="681">+BP450+BE451</f>
        <v>32810886</v>
      </c>
      <c r="BQ451" s="66"/>
      <c r="BR451" s="435">
        <f t="shared" ref="BR451" si="682">+BP451/BC451</f>
        <v>6.788023807292376E-2</v>
      </c>
      <c r="BS451" s="66"/>
      <c r="BT451" s="75"/>
      <c r="BU451" s="170"/>
      <c r="BV451" s="1"/>
      <c r="BW451" s="61">
        <f t="shared" si="189"/>
        <v>442</v>
      </c>
    </row>
    <row r="452" spans="2:75" x14ac:dyDescent="0.3">
      <c r="B452" s="158">
        <f t="shared" si="432"/>
        <v>44352</v>
      </c>
      <c r="C452" s="61"/>
      <c r="D452" s="17">
        <v>11603</v>
      </c>
      <c r="E452" s="16"/>
      <c r="F452" s="16"/>
      <c r="G452" s="16"/>
      <c r="H452" s="16">
        <f t="shared" ref="H452" si="683">+H451+D452</f>
        <v>33729467</v>
      </c>
      <c r="I452" s="16"/>
      <c r="J452" s="436">
        <f t="shared" ref="J452" si="684">+D452/H451</f>
        <v>3.4412025625348035E-4</v>
      </c>
      <c r="K452" s="16"/>
      <c r="L452" s="16"/>
      <c r="M452" s="16"/>
      <c r="N452" s="16">
        <f t="shared" ref="N452" si="685">SUM(D446:D452)</f>
        <v>89284</v>
      </c>
      <c r="O452" s="16">
        <f t="shared" ref="O452" si="686">+H452/BW452</f>
        <v>76138.751693002254</v>
      </c>
      <c r="P452" s="41"/>
      <c r="Q452" s="17">
        <f t="shared" ref="Q452" si="687">SUM(D446:D452)</f>
        <v>89284</v>
      </c>
      <c r="R452" s="16"/>
      <c r="S452" s="60">
        <f t="shared" ref="S452" si="688">+(Q452-Q445)/Q445</f>
        <v>-0.36231180184555611</v>
      </c>
      <c r="T452" s="16"/>
      <c r="U452" s="41"/>
      <c r="V452" s="10">
        <f t="shared" si="356"/>
        <v>344</v>
      </c>
      <c r="W452" s="34">
        <v>388</v>
      </c>
      <c r="X452" s="33">
        <v>4256</v>
      </c>
      <c r="Y452" s="33"/>
      <c r="Z452" s="33">
        <f t="shared" ref="Z452" si="689">SUM(W447:W452)</f>
        <v>2398</v>
      </c>
      <c r="AA452" s="33">
        <f t="shared" ref="AA452" si="690">+AA451+W452</f>
        <v>597967</v>
      </c>
      <c r="AB452" s="33"/>
      <c r="AC452" s="46">
        <f t="shared" ref="AC452" si="691">+AA452/H452</f>
        <v>1.7728326391875684E-2</v>
      </c>
      <c r="AD452" s="33"/>
      <c r="AE452" s="33">
        <f t="shared" ref="AE452" si="692">+AA452/BW452</f>
        <v>1349.8126410835214</v>
      </c>
      <c r="AF452" s="50"/>
      <c r="AG452" s="33">
        <f t="shared" ref="AG452" si="693">SUM(W446:W452)</f>
        <v>2522</v>
      </c>
      <c r="AH452" s="33">
        <f t="shared" ref="AH452" si="694">SUM(D423:D871)</f>
        <v>1120481140.060914</v>
      </c>
      <c r="AI452" s="213">
        <f t="shared" ref="AI452" si="695">+(AG452-AG445)/AG445</f>
        <v>-0.27445339470655927</v>
      </c>
      <c r="AJ452" s="50"/>
      <c r="AK452" s="111"/>
      <c r="AL452" s="23">
        <f t="shared" ref="AL452" si="696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97">+AL452/AP451</f>
        <v>1.7286048348966023E-3</v>
      </c>
      <c r="AS452" s="25"/>
      <c r="AT452" s="25"/>
      <c r="AU452" s="24"/>
      <c r="AV452" s="298">
        <f t="shared" ref="AV452" si="698">+AP452/H452</f>
        <v>0.83320293795333322</v>
      </c>
      <c r="AW452" s="298"/>
      <c r="AX452" s="24">
        <f t="shared" ref="AX452" si="699">+AP452/BW452</f>
        <v>63439.031602708805</v>
      </c>
      <c r="AY452" s="308"/>
      <c r="AZ452" s="111"/>
      <c r="BA452" s="65">
        <f t="shared" ref="BA452" si="700">+BC452-BC451</f>
        <v>2921876</v>
      </c>
      <c r="BB452" s="66"/>
      <c r="BC452" s="66">
        <v>486286209</v>
      </c>
      <c r="BD452" s="66"/>
      <c r="BE452" s="66">
        <f t="shared" ref="BE452" si="701">+D452</f>
        <v>11603</v>
      </c>
      <c r="BF452" s="66"/>
      <c r="BG452" s="144">
        <f t="shared" ref="BG452" si="702">+BE452/BA452</f>
        <v>3.971078854817932E-3</v>
      </c>
      <c r="BH452" s="66"/>
      <c r="BI452" s="170"/>
      <c r="BJ452" s="66"/>
      <c r="BK452" s="66">
        <f t="shared" ref="BK452" si="703">SUM(BA446:BA452)</f>
        <v>7369073</v>
      </c>
      <c r="BL452" s="66"/>
      <c r="BM452" s="144">
        <f t="shared" ref="BM452" si="704">+Q452/BK452</f>
        <v>1.2116042275602373E-2</v>
      </c>
      <c r="BN452" s="65">
        <f t="shared" ref="BN452" si="705">+BC452/BW452</f>
        <v>1097711.5327313771</v>
      </c>
      <c r="BO452" s="66"/>
      <c r="BP452" s="66">
        <f t="shared" ref="BP452" si="706">+BP451+BE452</f>
        <v>32822489</v>
      </c>
      <c r="BQ452" s="66"/>
      <c r="BR452" s="435">
        <f t="shared" ref="BR452" si="707">+BP452/BC452</f>
        <v>6.7496236563023726E-2</v>
      </c>
      <c r="BS452" s="66"/>
      <c r="BT452" s="75"/>
      <c r="BU452" s="170"/>
      <c r="BV452" s="1"/>
      <c r="BW452" s="61">
        <f t="shared" si="189"/>
        <v>443</v>
      </c>
    </row>
    <row r="453" spans="2:75" x14ac:dyDescent="0.3">
      <c r="B453" s="347">
        <f t="shared" si="432"/>
        <v>44353</v>
      </c>
      <c r="C453" s="61"/>
      <c r="D453" s="17">
        <v>6408</v>
      </c>
      <c r="E453" s="16"/>
      <c r="F453" s="16"/>
      <c r="G453" s="16"/>
      <c r="H453" s="16">
        <f t="shared" ref="H453" si="708">+H452+D453</f>
        <v>33735875</v>
      </c>
      <c r="I453" s="16"/>
      <c r="J453" s="436">
        <f t="shared" ref="J453" si="709">+D453/H452</f>
        <v>1.8998224905243834E-4</v>
      </c>
      <c r="K453" s="16"/>
      <c r="L453" s="16"/>
      <c r="M453" s="16"/>
      <c r="N453" s="16">
        <f t="shared" ref="N453" si="710">SUM(D447:D453)</f>
        <v>87942</v>
      </c>
      <c r="O453" s="16">
        <f t="shared" ref="O453" si="711">+H453/BW453</f>
        <v>75981.700450450444</v>
      </c>
      <c r="P453" s="41"/>
      <c r="Q453" s="17">
        <f t="shared" ref="Q453" si="712">SUM(D447:D453)</f>
        <v>87942</v>
      </c>
      <c r="R453" s="16"/>
      <c r="S453" s="60">
        <f t="shared" ref="S453" si="713">+(Q453-Q446)/Q446</f>
        <v>-0.34479701388009326</v>
      </c>
      <c r="T453" s="16"/>
      <c r="U453" s="41"/>
      <c r="V453" s="10">
        <f t="shared" si="356"/>
        <v>345</v>
      </c>
      <c r="W453" s="34">
        <v>164</v>
      </c>
      <c r="X453" s="33">
        <v>4256</v>
      </c>
      <c r="Y453" s="33"/>
      <c r="Z453" s="33">
        <f t="shared" ref="Z453" si="714">SUM(W448:W453)</f>
        <v>2447</v>
      </c>
      <c r="AA453" s="33">
        <f t="shared" ref="AA453" si="715">+AA452+W453</f>
        <v>598131</v>
      </c>
      <c r="AB453" s="33"/>
      <c r="AC453" s="46">
        <f t="shared" ref="AC453" si="716">+AA453/H453</f>
        <v>1.7729820258108021E-2</v>
      </c>
      <c r="AD453" s="33"/>
      <c r="AE453" s="33">
        <f t="shared" ref="AE453" si="717">+AA453/BW453</f>
        <v>1347.1418918918919</v>
      </c>
      <c r="AF453" s="50"/>
      <c r="AG453" s="33">
        <f t="shared" ref="AG453" si="718">SUM(W447:W453)</f>
        <v>2562</v>
      </c>
      <c r="AH453" s="33">
        <f t="shared" ref="AH453" si="719">SUM(D424:D872)</f>
        <v>1120431649.060914</v>
      </c>
      <c r="AI453" s="213">
        <f t="shared" ref="AI453" si="720">+(AG453-AG446)/AG446</f>
        <v>-0.2402135231316726</v>
      </c>
      <c r="AJ453" s="50"/>
      <c r="AK453" s="111"/>
      <c r="AL453" s="23">
        <f t="shared" ref="AL453" si="721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22">+AL453/AP452</f>
        <v>6.8482595276152703E-4</v>
      </c>
      <c r="AS453" s="25"/>
      <c r="AT453" s="25"/>
      <c r="AU453" s="24"/>
      <c r="AV453" s="298">
        <f t="shared" ref="AV453" si="723">+AP453/H453</f>
        <v>0.83361516486529552</v>
      </c>
      <c r="AW453" s="298"/>
      <c r="AX453" s="24">
        <f t="shared" ref="AX453" si="724">+AP453/BW453</f>
        <v>63339.497747747744</v>
      </c>
      <c r="AY453" s="308"/>
      <c r="AZ453" s="111"/>
      <c r="BA453" s="65">
        <f t="shared" ref="BA453" si="725">+BC453-BC452</f>
        <v>582741</v>
      </c>
      <c r="BB453" s="66"/>
      <c r="BC453" s="66">
        <v>486868950</v>
      </c>
      <c r="BD453" s="66"/>
      <c r="BE453" s="66">
        <f t="shared" ref="BE453" si="726">+D453</f>
        <v>6408</v>
      </c>
      <c r="BF453" s="66"/>
      <c r="BG453" s="144">
        <f t="shared" ref="BG453" si="727">+BE453/BA453</f>
        <v>1.0996308823302291E-2</v>
      </c>
      <c r="BH453" s="66"/>
      <c r="BI453" s="170"/>
      <c r="BJ453" s="66"/>
      <c r="BK453" s="66">
        <f t="shared" ref="BK453" si="728">SUM(BA447:BA453)</f>
        <v>7378055</v>
      </c>
      <c r="BL453" s="66"/>
      <c r="BM453" s="144">
        <f t="shared" ref="BM453" si="729">+Q453/BK453</f>
        <v>1.1919401522487973E-2</v>
      </c>
      <c r="BN453" s="65">
        <f t="shared" ref="BN453" si="730">+BC453/BW453</f>
        <v>1096551.6891891891</v>
      </c>
      <c r="BO453" s="66"/>
      <c r="BP453" s="66">
        <f t="shared" ref="BP453" si="731">+BP452+BE453</f>
        <v>32828897</v>
      </c>
      <c r="BQ453" s="66"/>
      <c r="BR453" s="435">
        <f t="shared" ref="BR453" si="732">+BP453/BC453</f>
        <v>6.7428610922918783E-2</v>
      </c>
      <c r="BS453" s="66"/>
      <c r="BT453" s="75"/>
      <c r="BU453" s="170"/>
      <c r="BV453" s="1"/>
      <c r="BW453" s="61">
        <f t="shared" si="189"/>
        <v>444</v>
      </c>
    </row>
    <row r="454" spans="2:75" x14ac:dyDescent="0.3">
      <c r="B454" s="158">
        <f t="shared" si="432"/>
        <v>44354</v>
      </c>
      <c r="C454" s="61"/>
      <c r="D454" s="17">
        <v>12283</v>
      </c>
      <c r="E454" s="16"/>
      <c r="F454" s="16"/>
      <c r="G454" s="16"/>
      <c r="H454" s="16">
        <f t="shared" ref="H454" si="733">+H453+D454</f>
        <v>33748158</v>
      </c>
      <c r="I454" s="16"/>
      <c r="J454" s="436">
        <f t="shared" ref="J454" si="734">+D454/H453</f>
        <v>3.6409312045411599E-4</v>
      </c>
      <c r="K454" s="16"/>
      <c r="L454" s="16"/>
      <c r="M454" s="16"/>
      <c r="N454" s="16">
        <f t="shared" ref="N454" si="735">SUM(D448:D454)</f>
        <v>94990</v>
      </c>
      <c r="O454" s="16">
        <f t="shared" ref="O454" si="736">+H454/BW454</f>
        <v>75838.557303370791</v>
      </c>
      <c r="P454" s="41"/>
      <c r="Q454" s="17">
        <f t="shared" ref="Q454" si="737">SUM(D448:D454)</f>
        <v>94990</v>
      </c>
      <c r="R454" s="16"/>
      <c r="S454" s="60">
        <f t="shared" ref="S454" si="738">+(Q454-Q447)/Q447</f>
        <v>-0.20236795700730539</v>
      </c>
      <c r="T454" s="16"/>
      <c r="U454" s="41"/>
      <c r="V454" s="10">
        <f t="shared" si="356"/>
        <v>346</v>
      </c>
      <c r="W454" s="34">
        <v>312</v>
      </c>
      <c r="X454" s="33">
        <v>4256</v>
      </c>
      <c r="Y454" s="33"/>
      <c r="Z454" s="33">
        <f t="shared" ref="Z454" si="739">SUM(W449:W454)</f>
        <v>2472</v>
      </c>
      <c r="AA454" s="33">
        <f t="shared" ref="AA454" si="740">+AA453+W454</f>
        <v>598443</v>
      </c>
      <c r="AB454" s="33"/>
      <c r="AC454" s="46">
        <f t="shared" ref="AC454" si="741">+AA454/H454</f>
        <v>1.7732612251015301E-2</v>
      </c>
      <c r="AD454" s="33"/>
      <c r="AE454" s="33">
        <f t="shared" ref="AE454" si="742">+AA454/BW454</f>
        <v>1344.8157303370785</v>
      </c>
      <c r="AF454" s="50"/>
      <c r="AG454" s="33">
        <f t="shared" ref="AG454" si="743">SUM(W448:W454)</f>
        <v>2759</v>
      </c>
      <c r="AH454" s="33">
        <f t="shared" ref="AH454" si="744">SUM(D425:D873)</f>
        <v>1120395894.060914</v>
      </c>
      <c r="AI454" s="213">
        <f t="shared" ref="AI454" si="745">+(AG454-AG447)/AG447</f>
        <v>-0.11627162075592569</v>
      </c>
      <c r="AJ454" s="50"/>
      <c r="AK454" s="111"/>
      <c r="AL454" s="23">
        <f t="shared" ref="AL454" si="746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47">+AL454/AP453</f>
        <v>1.9529393600629982E-3</v>
      </c>
      <c r="AS454" s="25"/>
      <c r="AT454" s="25"/>
      <c r="AU454" s="24"/>
      <c r="AV454" s="298">
        <f t="shared" ref="AV454" si="748">+AP454/H454</f>
        <v>0.83493916912443045</v>
      </c>
      <c r="AW454" s="298"/>
      <c r="AX454" s="24">
        <f t="shared" ref="AX454" si="749">+AP454/BW454</f>
        <v>63320.582022471914</v>
      </c>
      <c r="AY454" s="308"/>
      <c r="AZ454" s="111"/>
      <c r="BA454" s="65">
        <f t="shared" ref="BA454" si="750">+BC454-BC453</f>
        <v>2864658</v>
      </c>
      <c r="BB454" s="66"/>
      <c r="BC454" s="66">
        <v>489733608</v>
      </c>
      <c r="BD454" s="66"/>
      <c r="BE454" s="66">
        <f t="shared" ref="BE454" si="751">+D454</f>
        <v>12283</v>
      </c>
      <c r="BF454" s="66"/>
      <c r="BG454" s="144">
        <f t="shared" ref="BG454" si="752">+BE454/BA454</f>
        <v>4.2877718736407623E-3</v>
      </c>
      <c r="BH454" s="66"/>
      <c r="BI454" s="170"/>
      <c r="BJ454" s="66"/>
      <c r="BK454" s="66">
        <f t="shared" ref="BK454" si="753">SUM(BA448:BA454)</f>
        <v>9803485</v>
      </c>
      <c r="BL454" s="66"/>
      <c r="BM454" s="144">
        <f t="shared" ref="BM454" si="754">+Q454/BK454</f>
        <v>9.6894114694927366E-3</v>
      </c>
      <c r="BN454" s="65">
        <f t="shared" ref="BN454" si="755">+BC454/BW454</f>
        <v>1100524.9617977529</v>
      </c>
      <c r="BO454" s="66"/>
      <c r="BP454" s="66">
        <f t="shared" ref="BP454" si="756">+BP453+BE454</f>
        <v>32841180</v>
      </c>
      <c r="BQ454" s="66"/>
      <c r="BR454" s="435">
        <f t="shared" ref="BR454" si="757">+BP454/BC454</f>
        <v>6.7059273579606976E-2</v>
      </c>
      <c r="BS454" s="66"/>
      <c r="BT454" s="75"/>
      <c r="BU454" s="170"/>
      <c r="BV454" s="1"/>
      <c r="BW454" s="61">
        <f t="shared" si="189"/>
        <v>445</v>
      </c>
    </row>
    <row r="455" spans="2:75" x14ac:dyDescent="0.3">
      <c r="B455" s="158">
        <f t="shared" si="432"/>
        <v>44355</v>
      </c>
      <c r="C455" s="61"/>
      <c r="D455" s="17">
        <v>13542</v>
      </c>
      <c r="E455" s="16"/>
      <c r="F455" s="16"/>
      <c r="G455" s="16"/>
      <c r="H455" s="16">
        <f t="shared" ref="H455" si="758">+H454+D455</f>
        <v>33761700</v>
      </c>
      <c r="I455" s="16"/>
      <c r="J455" s="436">
        <f t="shared" ref="J455" si="759">+D455/H454</f>
        <v>4.0126634466983353E-4</v>
      </c>
      <c r="K455" s="16"/>
      <c r="L455" s="16"/>
      <c r="M455" s="16"/>
      <c r="N455" s="16">
        <f t="shared" ref="N455" si="760">SUM(D449:D455)</f>
        <v>95556</v>
      </c>
      <c r="O455" s="16">
        <f t="shared" ref="O455" si="761">+H455/BW455</f>
        <v>75698.87892376681</v>
      </c>
      <c r="P455" s="41"/>
      <c r="Q455" s="17">
        <f t="shared" ref="Q455" si="762">SUM(D449:D455)</f>
        <v>95556</v>
      </c>
      <c r="R455" s="16"/>
      <c r="S455" s="60">
        <f t="shared" ref="S455" si="763">+(Q455-Q448)/Q448</f>
        <v>-0.12596955949070687</v>
      </c>
      <c r="T455" s="16"/>
      <c r="U455" s="41"/>
      <c r="V455" s="10">
        <f t="shared" si="356"/>
        <v>347</v>
      </c>
      <c r="W455" s="34">
        <v>401</v>
      </c>
      <c r="X455" s="33">
        <v>4256</v>
      </c>
      <c r="Y455" s="33"/>
      <c r="Z455" s="33">
        <f t="shared" ref="Z455" si="764">SUM(W450:W455)</f>
        <v>2359</v>
      </c>
      <c r="AA455" s="33">
        <f t="shared" ref="AA455" si="765">+AA454+W455</f>
        <v>598844</v>
      </c>
      <c r="AB455" s="33"/>
      <c r="AC455" s="46">
        <f t="shared" ref="AC455" si="766">+AA455/H455</f>
        <v>1.7737376968576819E-2</v>
      </c>
      <c r="AD455" s="33"/>
      <c r="AE455" s="33">
        <f t="shared" ref="AE455" si="767">+AA455/BW455</f>
        <v>1342.6995515695066</v>
      </c>
      <c r="AF455" s="50"/>
      <c r="AG455" s="33">
        <f t="shared" ref="AG455" si="768">SUM(W449:W455)</f>
        <v>2873</v>
      </c>
      <c r="AH455" s="33">
        <f t="shared" ref="AH455" si="769">SUM(D426:D874)</f>
        <v>1120373694.060914</v>
      </c>
      <c r="AI455" s="213">
        <f t="shared" ref="AI455" si="770">+(AG455-AG448)/AG448</f>
        <v>4.8540145985401462E-2</v>
      </c>
      <c r="AJ455" s="50"/>
      <c r="AK455" s="111"/>
      <c r="AL455" s="23">
        <f t="shared" ref="AL455" si="771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72">+AL455/AP454</f>
        <v>1.533271447425778E-3</v>
      </c>
      <c r="AS455" s="25"/>
      <c r="AT455" s="25"/>
      <c r="AU455" s="24"/>
      <c r="AV455" s="298">
        <f t="shared" ref="AV455" si="773">+AP455/H455</f>
        <v>0.83588394541744049</v>
      </c>
      <c r="AW455" s="298"/>
      <c r="AX455" s="24">
        <f t="shared" ref="AX455" si="774">+AP455/BW455</f>
        <v>63275.477578475336</v>
      </c>
      <c r="AY455" s="308"/>
      <c r="AZ455" s="111"/>
      <c r="BA455" s="65">
        <f t="shared" ref="BA455" si="775">+BC455-BC454</f>
        <v>589126</v>
      </c>
      <c r="BB455" s="66"/>
      <c r="BC455" s="66">
        <v>490322734</v>
      </c>
      <c r="BD455" s="66"/>
      <c r="BE455" s="66">
        <f t="shared" ref="BE455" si="776">+D455</f>
        <v>13542</v>
      </c>
      <c r="BF455" s="66"/>
      <c r="BG455" s="144">
        <f t="shared" ref="BG455" si="777">+BE455/BA455</f>
        <v>2.2986593699819733E-2</v>
      </c>
      <c r="BH455" s="66"/>
      <c r="BI455" s="170"/>
      <c r="BJ455" s="66"/>
      <c r="BK455" s="66">
        <f t="shared" ref="BK455" si="778">SUM(BA449:BA455)</f>
        <v>9373948</v>
      </c>
      <c r="BL455" s="66"/>
      <c r="BM455" s="144">
        <f t="shared" ref="BM455" si="779">+Q455/BK455</f>
        <v>1.0193783878468282E-2</v>
      </c>
      <c r="BN455" s="65">
        <f t="shared" ref="BN455" si="780">+BC455/BW455</f>
        <v>1099378.32735426</v>
      </c>
      <c r="BO455" s="66"/>
      <c r="BP455" s="66">
        <f t="shared" ref="BP455" si="781">+BP454+BE455</f>
        <v>32854722</v>
      </c>
      <c r="BQ455" s="66"/>
      <c r="BR455" s="435">
        <f t="shared" ref="BR455" si="782">+BP455/BC455</f>
        <v>6.7006319963944405E-2</v>
      </c>
      <c r="BS455" s="66"/>
      <c r="BT455" s="75"/>
      <c r="BU455" s="170"/>
      <c r="BV455" s="1"/>
      <c r="BW455" s="61">
        <f t="shared" si="189"/>
        <v>446</v>
      </c>
    </row>
    <row r="456" spans="2:75" x14ac:dyDescent="0.3">
      <c r="B456" s="158">
        <f t="shared" si="432"/>
        <v>44356</v>
      </c>
      <c r="C456" s="61"/>
      <c r="D456" s="17">
        <v>14201</v>
      </c>
      <c r="E456" s="16"/>
      <c r="F456" s="16"/>
      <c r="G456" s="16"/>
      <c r="H456" s="16">
        <f t="shared" ref="H456" si="783">+H455+D456</f>
        <v>33775901</v>
      </c>
      <c r="I456" s="16"/>
      <c r="J456" s="436">
        <f t="shared" ref="J456" si="784">+D456/H455</f>
        <v>4.2062455385836616E-4</v>
      </c>
      <c r="K456" s="16"/>
      <c r="L456" s="16"/>
      <c r="M456" s="16"/>
      <c r="N456" s="16">
        <f t="shared" ref="N456" si="785">SUM(D450:D456)</f>
        <v>92783</v>
      </c>
      <c r="O456" s="16">
        <f t="shared" ref="O456" si="786">+H456/BW456</f>
        <v>75561.299776286352</v>
      </c>
      <c r="P456" s="41"/>
      <c r="Q456" s="17">
        <f t="shared" ref="Q456" si="787">SUM(D450:D456)</f>
        <v>92783</v>
      </c>
      <c r="R456" s="16"/>
      <c r="S456" s="60">
        <f t="shared" ref="S456" si="788">+(Q456-Q449)/Q449</f>
        <v>-9.7459193400906599E-2</v>
      </c>
      <c r="T456" s="16"/>
      <c r="U456" s="41"/>
      <c r="V456" s="10">
        <f t="shared" si="356"/>
        <v>348</v>
      </c>
      <c r="W456" s="34">
        <v>452</v>
      </c>
      <c r="X456" s="33">
        <v>4256</v>
      </c>
      <c r="Y456" s="33"/>
      <c r="Z456" s="33">
        <f t="shared" ref="Z456" si="789">SUM(W451:W456)</f>
        <v>2237</v>
      </c>
      <c r="AA456" s="33">
        <f t="shared" ref="AA456" si="790">+AA455+W456</f>
        <v>599296</v>
      </c>
      <c r="AB456" s="33"/>
      <c r="AC456" s="46">
        <f t="shared" ref="AC456" si="791">+AA456/H456</f>
        <v>1.7743301651671706E-2</v>
      </c>
      <c r="AD456" s="33"/>
      <c r="AE456" s="33">
        <f t="shared" ref="AE456" si="792">+AA456/BW456</f>
        <v>1340.7069351230425</v>
      </c>
      <c r="AF456" s="50"/>
      <c r="AG456" s="33">
        <f t="shared" ref="AG456" si="793">SUM(W450:W456)</f>
        <v>2811</v>
      </c>
      <c r="AH456" s="33">
        <f t="shared" ref="AH456" si="794">SUM(D427:D875)</f>
        <v>1120343542.060914</v>
      </c>
      <c r="AI456" s="213">
        <f t="shared" ref="AI456" si="795">+(AG456-AG449)/AG449</f>
        <v>6.1956932376275031E-2</v>
      </c>
      <c r="AJ456" s="50"/>
      <c r="AK456" s="111"/>
      <c r="AL456" s="23">
        <f t="shared" ref="AL456" si="796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97">+AL456/AP455</f>
        <v>1.1774267852829306E-3</v>
      </c>
      <c r="AS456" s="25"/>
      <c r="AT456" s="25"/>
      <c r="AU456" s="24"/>
      <c r="AV456" s="298">
        <f t="shared" ref="AV456" si="798">+AP456/H456</f>
        <v>0.83651627827781705</v>
      </c>
      <c r="AW456" s="298"/>
      <c r="AX456" s="24">
        <f t="shared" ref="AX456" si="799">+AP456/BW456</f>
        <v>63208.25727069351</v>
      </c>
      <c r="AY456" s="308"/>
      <c r="AZ456" s="111"/>
      <c r="BA456" s="65">
        <f t="shared" ref="BA456" si="800">+BC456-BC455</f>
        <v>758547</v>
      </c>
      <c r="BB456" s="66"/>
      <c r="BC456" s="66">
        <v>491081281</v>
      </c>
      <c r="BD456" s="66"/>
      <c r="BE456" s="66">
        <f t="shared" ref="BE456" si="801">+D456</f>
        <v>14201</v>
      </c>
      <c r="BF456" s="66"/>
      <c r="BG456" s="144">
        <f t="shared" ref="BG456" si="802">+BE456/BA456</f>
        <v>1.8721318520803588E-2</v>
      </c>
      <c r="BH456" s="66"/>
      <c r="BI456" s="170"/>
      <c r="BJ456" s="66"/>
      <c r="BK456" s="66">
        <f t="shared" ref="BK456" si="803">SUM(BA450:BA456)</f>
        <v>9473288</v>
      </c>
      <c r="BL456" s="66"/>
      <c r="BM456" s="144">
        <f t="shared" ref="BM456" si="804">+Q456/BK456</f>
        <v>9.7941707250956585E-3</v>
      </c>
      <c r="BN456" s="65">
        <f t="shared" ref="BN456" si="805">+BC456/BW456</f>
        <v>1098615.8411633109</v>
      </c>
      <c r="BO456" s="66"/>
      <c r="BP456" s="66">
        <f t="shared" ref="BP456" si="806">+BP455+BE456</f>
        <v>32868923</v>
      </c>
      <c r="BQ456" s="66"/>
      <c r="BR456" s="435">
        <f t="shared" ref="BR456" si="807">+BP456/BC456</f>
        <v>6.6931736703684297E-2</v>
      </c>
      <c r="BS456" s="66"/>
      <c r="BT456" s="75"/>
      <c r="BU456" s="170"/>
      <c r="BV456" s="1"/>
      <c r="BW456" s="61">
        <f t="shared" si="189"/>
        <v>447</v>
      </c>
    </row>
    <row r="457" spans="2:75" x14ac:dyDescent="0.3">
      <c r="B457" s="158">
        <f t="shared" si="432"/>
        <v>44357</v>
      </c>
      <c r="C457" s="61"/>
      <c r="D457" s="17">
        <v>16764</v>
      </c>
      <c r="E457" s="16"/>
      <c r="F457" s="16"/>
      <c r="G457" s="16"/>
      <c r="H457" s="16">
        <f t="shared" ref="H457" si="808">+H456+D457</f>
        <v>33792665</v>
      </c>
      <c r="I457" s="16"/>
      <c r="J457" s="436">
        <f t="shared" ref="J457" si="809">+D457/H456</f>
        <v>4.9633020892618084E-4</v>
      </c>
      <c r="K457" s="16"/>
      <c r="L457" s="16"/>
      <c r="M457" s="16"/>
      <c r="N457" s="16">
        <f t="shared" ref="N457" si="810">SUM(D451:D457)</f>
        <v>91726</v>
      </c>
      <c r="O457" s="16">
        <f t="shared" ref="O457" si="811">+H457/BW457</f>
        <v>75430.055803571435</v>
      </c>
      <c r="P457" s="41"/>
      <c r="Q457" s="17">
        <f t="shared" ref="Q457" si="812">SUM(D451:D457)</f>
        <v>91726</v>
      </c>
      <c r="R457" s="16"/>
      <c r="S457" s="60">
        <f t="shared" ref="S457" si="813">+(Q457-Q450)/Q450</f>
        <v>-4.6804530811597217E-2</v>
      </c>
      <c r="T457" s="16"/>
      <c r="U457" s="41"/>
      <c r="V457" s="10">
        <f t="shared" si="356"/>
        <v>349</v>
      </c>
      <c r="W457" s="34">
        <v>481</v>
      </c>
      <c r="X457" s="33">
        <v>4256</v>
      </c>
      <c r="Y457" s="33"/>
      <c r="Z457" s="33">
        <f t="shared" ref="Z457" si="814">SUM(W452:W457)</f>
        <v>2198</v>
      </c>
      <c r="AA457" s="33">
        <f t="shared" ref="AA457" si="815">+AA456+W457</f>
        <v>599777</v>
      </c>
      <c r="AB457" s="33"/>
      <c r="AC457" s="46">
        <f t="shared" ref="AC457" si="816">+AA457/H457</f>
        <v>1.7748733341984124E-2</v>
      </c>
      <c r="AD457" s="33"/>
      <c r="AE457" s="33">
        <f t="shared" ref="AE457" si="817">+AA457/BW457</f>
        <v>1338.7879464285713</v>
      </c>
      <c r="AF457" s="50"/>
      <c r="AG457" s="33">
        <f t="shared" ref="AG457" si="818">SUM(W451:W457)</f>
        <v>2718</v>
      </c>
      <c r="AH457" s="33">
        <f t="shared" ref="AH457" si="819">SUM(D428:D876)</f>
        <v>1120308638.060914</v>
      </c>
      <c r="AI457" s="213">
        <f t="shared" ref="AI457" si="820">+(AG457-AG450)/AG450</f>
        <v>4.901582400617522E-2</v>
      </c>
      <c r="AJ457" s="50"/>
      <c r="AK457" s="111"/>
      <c r="AL457" s="23">
        <f t="shared" ref="AL457" si="821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22">+AL457/AP456</f>
        <v>1.6248620421021509E-3</v>
      </c>
      <c r="AS457" s="25"/>
      <c r="AT457" s="25"/>
      <c r="AU457" s="24"/>
      <c r="AV457" s="298">
        <f t="shared" ref="AV457" si="823">+AP457/H457</f>
        <v>0.83745984520605288</v>
      </c>
      <c r="AW457" s="298"/>
      <c r="AX457" s="24">
        <f t="shared" ref="AX457" si="824">+AP457/BW457</f>
        <v>63169.642857142855</v>
      </c>
      <c r="AY457" s="308"/>
      <c r="AZ457" s="111"/>
      <c r="BA457" s="65">
        <f t="shared" ref="BA457" si="825">+BC457-BC456</f>
        <v>918719</v>
      </c>
      <c r="BB457" s="66"/>
      <c r="BC457" s="66">
        <v>492000000</v>
      </c>
      <c r="BD457" s="66"/>
      <c r="BE457" s="66">
        <f t="shared" ref="BE457" si="826">+D457</f>
        <v>16764</v>
      </c>
      <c r="BF457" s="66"/>
      <c r="BG457" s="144">
        <f t="shared" ref="BG457" si="827">+BE457/BA457</f>
        <v>1.8247146298269654E-2</v>
      </c>
      <c r="BH457" s="66"/>
      <c r="BI457" s="170"/>
      <c r="BJ457" s="66"/>
      <c r="BK457" s="66">
        <f t="shared" ref="BK457" si="828">SUM(BA451:BA457)</f>
        <v>9609176</v>
      </c>
      <c r="BL457" s="66"/>
      <c r="BM457" s="144">
        <f t="shared" ref="BM457" si="829">+Q457/BK457</f>
        <v>9.5456675993862532E-3</v>
      </c>
      <c r="BN457" s="65">
        <f t="shared" ref="BN457" si="830">+BC457/BW457</f>
        <v>1098214.2857142857</v>
      </c>
      <c r="BO457" s="66"/>
      <c r="BP457" s="66">
        <f t="shared" ref="BP457" si="831">+BP456+BE457</f>
        <v>32885687</v>
      </c>
      <c r="BQ457" s="66"/>
      <c r="BR457" s="435">
        <f t="shared" ref="BR457" si="832">+BP457/BC457</f>
        <v>6.6840827235772352E-2</v>
      </c>
      <c r="BS457" s="66"/>
      <c r="BT457" s="75"/>
      <c r="BU457" s="170"/>
      <c r="BV457" s="1"/>
      <c r="BW457" s="61">
        <f t="shared" si="189"/>
        <v>448</v>
      </c>
    </row>
    <row r="458" spans="2:75" x14ac:dyDescent="0.3">
      <c r="B458" s="158">
        <f t="shared" si="432"/>
        <v>44358</v>
      </c>
      <c r="C458" s="61"/>
      <c r="D458" s="17">
        <v>16145</v>
      </c>
      <c r="E458" s="16"/>
      <c r="F458" s="16"/>
      <c r="G458" s="16"/>
      <c r="H458" s="16">
        <f t="shared" ref="H458" si="833">+H457+D458</f>
        <v>33808810</v>
      </c>
      <c r="I458" s="16"/>
      <c r="J458" s="436">
        <f t="shared" ref="J458" si="834">+D458/H457</f>
        <v>4.7776640285695138E-4</v>
      </c>
      <c r="K458" s="16"/>
      <c r="L458" s="16"/>
      <c r="M458" s="16"/>
      <c r="N458" s="16">
        <f t="shared" ref="N458" si="835">SUM(D452:D458)</f>
        <v>90946</v>
      </c>
      <c r="O458" s="16">
        <f t="shared" ref="O458" si="836">+H458/BW458</f>
        <v>75298.017817371932</v>
      </c>
      <c r="P458" s="41"/>
      <c r="Q458" s="17">
        <f t="shared" ref="Q458" si="837">SUM(D452:D458)</f>
        <v>90946</v>
      </c>
      <c r="R458" s="16"/>
      <c r="S458" s="60">
        <f t="shared" ref="S458" si="838">+(Q458-Q451)/Q451</f>
        <v>6.6857054304753048E-3</v>
      </c>
      <c r="T458" s="16"/>
      <c r="U458" s="41"/>
      <c r="V458" s="10">
        <f t="shared" si="356"/>
        <v>350</v>
      </c>
      <c r="W458" s="34">
        <v>421</v>
      </c>
      <c r="X458" s="33">
        <v>4256</v>
      </c>
      <c r="Y458" s="33"/>
      <c r="Z458" s="33">
        <f t="shared" ref="Z458" si="839">SUM(W453:W458)</f>
        <v>2231</v>
      </c>
      <c r="AA458" s="33">
        <f t="shared" ref="AA458" si="840">+AA457+W458</f>
        <v>600198</v>
      </c>
      <c r="AB458" s="33"/>
      <c r="AC458" s="46">
        <f t="shared" ref="AC458" si="841">+AA458/H458</f>
        <v>1.7752710018483348E-2</v>
      </c>
      <c r="AD458" s="33"/>
      <c r="AE458" s="33">
        <f t="shared" ref="AE458" si="842">+AA458/BW458</f>
        <v>1336.7438752783964</v>
      </c>
      <c r="AF458" s="50"/>
      <c r="AG458" s="33">
        <f t="shared" ref="AG458" si="843">SUM(W452:W458)</f>
        <v>2619</v>
      </c>
      <c r="AH458" s="33">
        <f t="shared" ref="AH458" si="844">SUM(D429:D877)</f>
        <v>1120272822.060914</v>
      </c>
      <c r="AI458" s="213">
        <f t="shared" ref="AI458" si="845">+(AG458-AG451)/AG451</f>
        <v>5.434782608695652E-2</v>
      </c>
      <c r="AJ458" s="50"/>
      <c r="AK458" s="111"/>
      <c r="AL458" s="23">
        <f t="shared" ref="AL458" si="846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47">+AL458/AP457</f>
        <v>1.6368904593639577E-3</v>
      </c>
      <c r="AS458" s="25"/>
      <c r="AT458" s="25"/>
      <c r="AU458" s="24"/>
      <c r="AV458" s="298">
        <f t="shared" ref="AV458" si="848">+AP458/H458</f>
        <v>0.83843010150312891</v>
      </c>
      <c r="AW458" s="298"/>
      <c r="AX458" s="24">
        <f t="shared" ref="AX458" si="849">+AP458/BW458</f>
        <v>63132.124721603563</v>
      </c>
      <c r="AY458" s="308"/>
      <c r="AZ458" s="111"/>
      <c r="BA458" s="65">
        <f t="shared" ref="BA458" si="850">+BC458-BC457</f>
        <v>1246114</v>
      </c>
      <c r="BB458" s="66"/>
      <c r="BC458" s="66">
        <v>493246114</v>
      </c>
      <c r="BD458" s="66"/>
      <c r="BE458" s="66">
        <f t="shared" ref="BE458" si="851">+D458</f>
        <v>16145</v>
      </c>
      <c r="BF458" s="66"/>
      <c r="BG458" s="144">
        <f t="shared" ref="BG458" si="852">+BE458/BA458</f>
        <v>1.2956278478534066E-2</v>
      </c>
      <c r="BH458" s="66"/>
      <c r="BI458" s="170"/>
      <c r="BJ458" s="66"/>
      <c r="BK458" s="66">
        <f t="shared" ref="BK458" si="853">SUM(BA452:BA458)</f>
        <v>9881781</v>
      </c>
      <c r="BL458" s="66"/>
      <c r="BM458" s="144">
        <f t="shared" ref="BM458" si="854">+Q458/BK458</f>
        <v>9.2034016944921165E-3</v>
      </c>
      <c r="BN458" s="65">
        <f t="shared" ref="BN458" si="855">+BC458/BW458</f>
        <v>1098543.6837416482</v>
      </c>
      <c r="BO458" s="66"/>
      <c r="BP458" s="66">
        <f t="shared" ref="BP458" si="856">+BP457+BE458</f>
        <v>32901832</v>
      </c>
      <c r="BQ458" s="66"/>
      <c r="BR458" s="435">
        <f t="shared" ref="BR458" si="857">+BP458/BC458</f>
        <v>6.6704695822499674E-2</v>
      </c>
      <c r="BS458" s="66"/>
      <c r="BT458" s="75"/>
      <c r="BU458" s="170"/>
      <c r="BV458" s="1"/>
      <c r="BW458" s="61">
        <f t="shared" si="189"/>
        <v>449</v>
      </c>
    </row>
    <row r="459" spans="2:75" x14ac:dyDescent="0.3">
      <c r="B459" s="158">
        <f t="shared" si="432"/>
        <v>44359</v>
      </c>
      <c r="C459" s="61"/>
      <c r="D459" s="17">
        <v>9427</v>
      </c>
      <c r="E459" s="16"/>
      <c r="F459" s="16"/>
      <c r="G459" s="16"/>
      <c r="H459" s="16">
        <f t="shared" ref="H459" si="858">+H458+D459</f>
        <v>33818237</v>
      </c>
      <c r="I459" s="16"/>
      <c r="J459" s="436">
        <f t="shared" ref="J459" si="859">+D459/H458</f>
        <v>2.7883264746674018E-4</v>
      </c>
      <c r="K459" s="16"/>
      <c r="L459" s="16"/>
      <c r="M459" s="16"/>
      <c r="N459" s="16">
        <f t="shared" ref="N459" si="860">SUM(D453:D459)</f>
        <v>88770</v>
      </c>
      <c r="O459" s="16">
        <f t="shared" ref="O459" si="861">+H459/BW459</f>
        <v>75151.637777777782</v>
      </c>
      <c r="P459" s="41"/>
      <c r="Q459" s="17">
        <f t="shared" ref="Q459" si="862">SUM(D453:D459)</f>
        <v>88770</v>
      </c>
      <c r="R459" s="16"/>
      <c r="S459" s="60">
        <f t="shared" ref="S459" si="863">+(Q459-Q452)/Q452</f>
        <v>-5.7569105326822278E-3</v>
      </c>
      <c r="T459" s="16"/>
      <c r="U459" s="41"/>
      <c r="V459" s="10">
        <f t="shared" si="356"/>
        <v>351</v>
      </c>
      <c r="W459" s="34">
        <v>308</v>
      </c>
      <c r="X459" s="33">
        <v>4256</v>
      </c>
      <c r="Y459" s="33"/>
      <c r="Z459" s="33">
        <f t="shared" ref="Z459" si="864">SUM(W454:W459)</f>
        <v>2375</v>
      </c>
      <c r="AA459" s="33">
        <f t="shared" ref="AA459" si="865">+AA458+W459</f>
        <v>600506</v>
      </c>
      <c r="AB459" s="33"/>
      <c r="AC459" s="46">
        <f t="shared" ref="AC459" si="866">+AA459/H459</f>
        <v>1.7756868875216648E-2</v>
      </c>
      <c r="AD459" s="33"/>
      <c r="AE459" s="33">
        <f t="shared" ref="AE459" si="867">+AA459/BW459</f>
        <v>1334.4577777777777</v>
      </c>
      <c r="AF459" s="50"/>
      <c r="AG459" s="33">
        <f t="shared" ref="AG459" si="868">SUM(W453:W459)</f>
        <v>2539</v>
      </c>
      <c r="AH459" s="33">
        <f t="shared" ref="AH459" si="869">SUM(D430:D878)</f>
        <v>1120232997.060914</v>
      </c>
      <c r="AI459" s="213">
        <f t="shared" ref="AI459" si="870">+(AG459-AG452)/AG452</f>
        <v>6.7406819984139575E-3</v>
      </c>
      <c r="AJ459" s="50"/>
      <c r="AK459" s="111"/>
      <c r="AL459" s="23">
        <f t="shared" ref="AL459" si="871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72">+AL459/AP458</f>
        <v>1.2452761070535989E-3</v>
      </c>
      <c r="AS459" s="25"/>
      <c r="AT459" s="25"/>
      <c r="AU459" s="24"/>
      <c r="AV459" s="298">
        <f t="shared" ref="AV459" si="873">+AP459/H459</f>
        <v>0.83924017091724801</v>
      </c>
      <c r="AW459" s="298"/>
      <c r="AX459" s="24">
        <f t="shared" ref="AX459" si="874">+AP459/BW459</f>
        <v>63070.273333333331</v>
      </c>
      <c r="AY459" s="308"/>
      <c r="AZ459" s="111"/>
      <c r="BA459" s="65">
        <f t="shared" ref="BA459" si="875">+BC459-BC458</f>
        <v>648739</v>
      </c>
      <c r="BB459" s="66"/>
      <c r="BC459" s="66">
        <v>493894853</v>
      </c>
      <c r="BD459" s="66"/>
      <c r="BE459" s="66">
        <f t="shared" ref="BE459" si="876">+D459</f>
        <v>9427</v>
      </c>
      <c r="BF459" s="66"/>
      <c r="BG459" s="144">
        <f t="shared" ref="BG459" si="877">+BE459/BA459</f>
        <v>1.4531267582186364E-2</v>
      </c>
      <c r="BH459" s="66"/>
      <c r="BI459" s="170"/>
      <c r="BJ459" s="66"/>
      <c r="BK459" s="66">
        <f t="shared" ref="BK459" si="878">SUM(BA453:BA459)</f>
        <v>7608644</v>
      </c>
      <c r="BL459" s="66"/>
      <c r="BM459" s="144">
        <f t="shared" ref="BM459" si="879">+Q459/BK459</f>
        <v>1.1666993487932936E-2</v>
      </c>
      <c r="BN459" s="65">
        <f t="shared" ref="BN459" si="880">+BC459/BW459</f>
        <v>1097544.1177777778</v>
      </c>
      <c r="BO459" s="66"/>
      <c r="BP459" s="66">
        <f t="shared" ref="BP459" si="881">+BP458+BE459</f>
        <v>32911259</v>
      </c>
      <c r="BQ459" s="66"/>
      <c r="BR459" s="435">
        <f t="shared" ref="BR459" si="882">+BP459/BC459</f>
        <v>6.6636165167730549E-2</v>
      </c>
      <c r="BS459" s="66"/>
      <c r="BT459" s="75"/>
      <c r="BU459" s="170"/>
      <c r="BV459" s="1"/>
      <c r="BW459" s="61">
        <f t="shared" si="189"/>
        <v>450</v>
      </c>
    </row>
    <row r="460" spans="2:75" x14ac:dyDescent="0.3">
      <c r="B460" s="347">
        <f t="shared" si="432"/>
        <v>44360</v>
      </c>
      <c r="C460" s="61"/>
      <c r="D460" s="17">
        <v>5285</v>
      </c>
      <c r="E460" s="16"/>
      <c r="F460" s="16"/>
      <c r="G460" s="16"/>
      <c r="H460" s="16">
        <f t="shared" ref="H460" si="883">+H459+D460</f>
        <v>33823522</v>
      </c>
      <c r="I460" s="16"/>
      <c r="J460" s="436">
        <f t="shared" ref="J460" si="884">+D460/H459</f>
        <v>1.5627662672066555E-4</v>
      </c>
      <c r="K460" s="16"/>
      <c r="L460" s="16"/>
      <c r="M460" s="16"/>
      <c r="N460" s="16">
        <f t="shared" ref="N460" si="885">SUM(D454:D460)</f>
        <v>87647</v>
      </c>
      <c r="O460" s="16">
        <f t="shared" ref="O460" si="886">+H460/BW460</f>
        <v>74996.722838137473</v>
      </c>
      <c r="P460" s="41"/>
      <c r="Q460" s="17">
        <f t="shared" ref="Q460" si="887">SUM(D454:D460)</f>
        <v>87647</v>
      </c>
      <c r="R460" s="16"/>
      <c r="S460" s="60">
        <f t="shared" ref="S460" si="888">+(Q460-Q453)/Q453</f>
        <v>-3.3544836369425305E-3</v>
      </c>
      <c r="T460" s="16"/>
      <c r="U460" s="41"/>
      <c r="V460" s="10">
        <f t="shared" si="356"/>
        <v>352</v>
      </c>
      <c r="W460" s="34">
        <v>100</v>
      </c>
      <c r="X460" s="33">
        <v>4256</v>
      </c>
      <c r="Y460" s="33"/>
      <c r="Z460" s="33">
        <f t="shared" ref="Z460" si="889">SUM(W455:W460)</f>
        <v>2163</v>
      </c>
      <c r="AA460" s="33">
        <f t="shared" ref="AA460" si="890">+AA459+W460</f>
        <v>600606</v>
      </c>
      <c r="AB460" s="33"/>
      <c r="AC460" s="46">
        <f t="shared" ref="AC460" si="891">+AA460/H460</f>
        <v>1.7757050847632013E-2</v>
      </c>
      <c r="AD460" s="33"/>
      <c r="AE460" s="33">
        <f t="shared" ref="AE460" si="892">+AA460/BW460</f>
        <v>1331.7206208425721</v>
      </c>
      <c r="AF460" s="50"/>
      <c r="AG460" s="33">
        <f t="shared" ref="AG460" si="893">SUM(W454:W460)</f>
        <v>2475</v>
      </c>
      <c r="AH460" s="33">
        <f t="shared" ref="AH460" si="894">SUM(D431:D879)</f>
        <v>1120193902.060914</v>
      </c>
      <c r="AI460" s="213">
        <f t="shared" ref="AI460" si="895">+(AG460-AG453)/AG453</f>
        <v>-3.3957845433255272E-2</v>
      </c>
      <c r="AJ460" s="50"/>
      <c r="AK460" s="111"/>
      <c r="AL460" s="23">
        <f t="shared" ref="AL460" si="896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97">+AL460/AP459</f>
        <v>6.5214734196138114E-4</v>
      </c>
      <c r="AS460" s="25"/>
      <c r="AT460" s="25"/>
      <c r="AU460" s="24"/>
      <c r="AV460" s="298">
        <f t="shared" ref="AV460" si="898">+AP460/H460</f>
        <v>0.83965626051598052</v>
      </c>
      <c r="AW460" s="298"/>
      <c r="AX460" s="24">
        <f t="shared" ref="AX460" si="899">+AP460/BW460</f>
        <v>62971.467849223947</v>
      </c>
      <c r="AY460" s="308"/>
      <c r="AZ460" s="111"/>
      <c r="BA460" s="65">
        <f t="shared" ref="BA460" si="900">+BC460-BC459</f>
        <v>454808</v>
      </c>
      <c r="BB460" s="66"/>
      <c r="BC460" s="66">
        <v>494349661</v>
      </c>
      <c r="BD460" s="66"/>
      <c r="BE460" s="66">
        <f t="shared" ref="BE460" si="901">+D460</f>
        <v>5285</v>
      </c>
      <c r="BF460" s="66"/>
      <c r="BG460" s="144">
        <f t="shared" ref="BG460" si="902">+BE460/BA460</f>
        <v>1.1620288121580976E-2</v>
      </c>
      <c r="BH460" s="66"/>
      <c r="BI460" s="170"/>
      <c r="BJ460" s="66"/>
      <c r="BK460" s="66">
        <f t="shared" ref="BK460" si="903">SUM(BA454:BA460)</f>
        <v>7480711</v>
      </c>
      <c r="BL460" s="66"/>
      <c r="BM460" s="144">
        <f t="shared" ref="BM460" si="904">+Q460/BK460</f>
        <v>1.1716399684468495E-2</v>
      </c>
      <c r="BN460" s="65">
        <f t="shared" ref="BN460" si="905">+BC460/BW460</f>
        <v>1096118.9822616407</v>
      </c>
      <c r="BO460" s="66"/>
      <c r="BP460" s="66">
        <f t="shared" ref="BP460" si="906">+BP459+BE460</f>
        <v>32916544</v>
      </c>
      <c r="BQ460" s="66"/>
      <c r="BR460" s="435">
        <f t="shared" ref="BR460" si="907">+BP460/BC460</f>
        <v>6.6585549858402759E-2</v>
      </c>
      <c r="BS460" s="66"/>
      <c r="BT460" s="75"/>
      <c r="BU460" s="170"/>
      <c r="BV460" s="1"/>
      <c r="BW460" s="61">
        <f t="shared" si="189"/>
        <v>451</v>
      </c>
    </row>
    <row r="461" spans="2:75" x14ac:dyDescent="0.3">
      <c r="B461" s="158">
        <f t="shared" si="432"/>
        <v>44361</v>
      </c>
      <c r="C461" s="61"/>
      <c r="D461" s="17">
        <v>11521</v>
      </c>
      <c r="E461" s="16"/>
      <c r="F461" s="16"/>
      <c r="G461" s="16"/>
      <c r="H461" s="16">
        <f t="shared" ref="H461" si="908">+H460+D461</f>
        <v>33835043</v>
      </c>
      <c r="I461" s="16"/>
      <c r="J461" s="436">
        <f t="shared" ref="J461" si="909">+D461/H460</f>
        <v>3.4062094420563298E-4</v>
      </c>
      <c r="K461" s="16"/>
      <c r="L461" s="16"/>
      <c r="M461" s="16"/>
      <c r="N461" s="16">
        <f t="shared" ref="N461" si="910">SUM(D455:D461)</f>
        <v>86885</v>
      </c>
      <c r="O461" s="16">
        <f t="shared" ref="O461" si="911">+H461/BW461</f>
        <v>74856.289823008847</v>
      </c>
      <c r="P461" s="41"/>
      <c r="Q461" s="17">
        <f t="shared" ref="Q461" si="912">SUM(D455:D461)</f>
        <v>86885</v>
      </c>
      <c r="R461" s="16"/>
      <c r="S461" s="60">
        <f t="shared" ref="S461" si="913">+(Q461-Q454)/Q454</f>
        <v>-8.5324771028529325E-2</v>
      </c>
      <c r="T461" s="16"/>
      <c r="U461" s="41"/>
      <c r="V461" s="10">
        <f t="shared" si="356"/>
        <v>353</v>
      </c>
      <c r="W461" s="34">
        <v>252</v>
      </c>
      <c r="X461" s="33">
        <v>4256</v>
      </c>
      <c r="Y461" s="33"/>
      <c r="Z461" s="33">
        <f t="shared" ref="Z461" si="914">SUM(W456:W461)</f>
        <v>2014</v>
      </c>
      <c r="AA461" s="33">
        <f t="shared" ref="AA461" si="915">+AA460+W461</f>
        <v>600858</v>
      </c>
      <c r="AB461" s="33"/>
      <c r="AC461" s="46">
        <f t="shared" ref="AC461" si="916">+AA461/H461</f>
        <v>1.7758452383228832E-2</v>
      </c>
      <c r="AD461" s="33"/>
      <c r="AE461" s="33">
        <f t="shared" ref="AE461" si="917">+AA461/BW461</f>
        <v>1329.3318584070796</v>
      </c>
      <c r="AF461" s="50"/>
      <c r="AG461" s="33">
        <f t="shared" ref="AG461" si="918">SUM(W455:W461)</f>
        <v>2415</v>
      </c>
      <c r="AH461" s="33">
        <f t="shared" ref="AH461" si="919">SUM(D432:D880)</f>
        <v>1120168260.060914</v>
      </c>
      <c r="AI461" s="213">
        <f t="shared" ref="AI461" si="920">+(AG461-AG454)/AG454</f>
        <v>-0.12468285610728524</v>
      </c>
      <c r="AJ461" s="50"/>
      <c r="AK461" s="111"/>
      <c r="AL461" s="23">
        <f t="shared" ref="AL461" si="921">+AP461-AP460</f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ref="AR461" si="922">+AL461/AP460</f>
        <v>5.1461732642651093E-3</v>
      </c>
      <c r="AS461" s="25"/>
      <c r="AT461" s="25"/>
      <c r="AU461" s="24"/>
      <c r="AV461" s="298">
        <f t="shared" ref="AV461" si="923">+AP461/H461</f>
        <v>0.84368989866512067</v>
      </c>
      <c r="AW461" s="298"/>
      <c r="AX461" s="24">
        <f t="shared" ref="AX461" si="924">+AP461/BW461</f>
        <v>63155.495575221241</v>
      </c>
      <c r="AY461" s="308"/>
      <c r="AZ461" s="111"/>
      <c r="BA461" s="65">
        <f t="shared" ref="BA461" si="925">+BC461-BC460</f>
        <v>1054127</v>
      </c>
      <c r="BB461" s="66"/>
      <c r="BC461" s="66">
        <v>495403788</v>
      </c>
      <c r="BD461" s="66"/>
      <c r="BE461" s="66">
        <f t="shared" ref="BE461" si="926">+D461</f>
        <v>11521</v>
      </c>
      <c r="BF461" s="66"/>
      <c r="BG461" s="144">
        <f t="shared" ref="BG461" si="927">+BE461/BA461</f>
        <v>1.0929423115051603E-2</v>
      </c>
      <c r="BH461" s="66"/>
      <c r="BI461" s="170"/>
      <c r="BJ461" s="66"/>
      <c r="BK461" s="66">
        <f t="shared" ref="BK461" si="928">SUM(BA455:BA461)</f>
        <v>5670180</v>
      </c>
      <c r="BL461" s="66"/>
      <c r="BM461" s="144">
        <f t="shared" ref="BM461" si="929">+Q461/BK461</f>
        <v>1.5323146707864653E-2</v>
      </c>
      <c r="BN461" s="65">
        <f t="shared" ref="BN461" si="930">+BC461/BW461</f>
        <v>1096026.0796460176</v>
      </c>
      <c r="BO461" s="66"/>
      <c r="BP461" s="66">
        <f t="shared" ref="BP461" si="931">+BP460+BE461</f>
        <v>32928065</v>
      </c>
      <c r="BQ461" s="66"/>
      <c r="BR461" s="435">
        <f t="shared" ref="BR461" si="932">+BP461/BC461</f>
        <v>6.6467123985737467E-2</v>
      </c>
      <c r="BS461" s="66"/>
      <c r="BT461" s="75"/>
      <c r="BU461" s="170"/>
      <c r="BV461" s="1"/>
      <c r="BW461" s="61">
        <f t="shared" si="189"/>
        <v>452</v>
      </c>
    </row>
    <row r="462" spans="2:75" x14ac:dyDescent="0.3">
      <c r="B462" s="158">
        <f t="shared" si="432"/>
        <v>44362</v>
      </c>
      <c r="C462" s="61"/>
      <c r="D462" s="17">
        <v>12580</v>
      </c>
      <c r="E462" s="16"/>
      <c r="F462" s="16"/>
      <c r="G462" s="16"/>
      <c r="H462" s="16">
        <f t="shared" ref="H462" si="933">+H461+D462</f>
        <v>33847623</v>
      </c>
      <c r="I462" s="16"/>
      <c r="J462" s="436">
        <f t="shared" ref="J462" si="934">+D462/H461</f>
        <v>3.7180387209793112E-4</v>
      </c>
      <c r="K462" s="16"/>
      <c r="L462" s="16"/>
      <c r="M462" s="16"/>
      <c r="N462" s="16">
        <f t="shared" ref="N462" si="935">SUM(D456:D462)</f>
        <v>85923</v>
      </c>
      <c r="O462" s="16">
        <f t="shared" ref="O462" si="936">+H462/BW462</f>
        <v>74718.814569536422</v>
      </c>
      <c r="P462" s="41"/>
      <c r="Q462" s="17">
        <f t="shared" ref="Q462" si="937">SUM(D456:D462)</f>
        <v>85923</v>
      </c>
      <c r="R462" s="16"/>
      <c r="S462" s="60">
        <f t="shared" ref="S462" si="938">+(Q462-Q455)/Q455</f>
        <v>-0.10080999623257567</v>
      </c>
      <c r="T462" s="16"/>
      <c r="U462" s="41"/>
      <c r="V462" s="10">
        <f t="shared" si="356"/>
        <v>354</v>
      </c>
      <c r="W462" s="34">
        <v>353</v>
      </c>
      <c r="X462" s="33">
        <v>4256</v>
      </c>
      <c r="Y462" s="33"/>
      <c r="Z462" s="33">
        <f t="shared" ref="Z462" si="939">SUM(W457:W462)</f>
        <v>1915</v>
      </c>
      <c r="AA462" s="33">
        <f t="shared" ref="AA462" si="940">+AA461+W462</f>
        <v>601211</v>
      </c>
      <c r="AB462" s="33"/>
      <c r="AC462" s="46">
        <f t="shared" ref="AC462" si="941">+AA462/H462</f>
        <v>1.7762281268613751E-2</v>
      </c>
      <c r="AD462" s="33"/>
      <c r="AE462" s="33">
        <f t="shared" ref="AE462" si="942">+AA462/BW462</f>
        <v>1327.176600441501</v>
      </c>
      <c r="AF462" s="50"/>
      <c r="AG462" s="33">
        <f t="shared" ref="AG462" si="943">SUM(W456:W462)</f>
        <v>2367</v>
      </c>
      <c r="AH462" s="33">
        <f t="shared" ref="AH462" si="944">SUM(D433:D881)</f>
        <v>1120150426.060914</v>
      </c>
      <c r="AI462" s="213">
        <f t="shared" ref="AI462" si="945">+(AG462-AG455)/AG455</f>
        <v>-0.17612252001392273</v>
      </c>
      <c r="AJ462" s="50"/>
      <c r="AK462" s="111"/>
      <c r="AL462" s="23">
        <f t="shared" ref="AL462" si="946">+AP462-AP461</f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ref="AR462" si="947">+AL462/AP461</f>
        <v>1.1355943911999194E-3</v>
      </c>
      <c r="AS462" s="25"/>
      <c r="AT462" s="25"/>
      <c r="AU462" s="24"/>
      <c r="AV462" s="298">
        <f t="shared" ref="AV462" si="948">+AP462/H462</f>
        <v>0.84433406150854373</v>
      </c>
      <c r="AW462" s="298"/>
      <c r="AX462" s="24">
        <f t="shared" ref="AX462" si="949">+AP462/BW462</f>
        <v>63087.640176600442</v>
      </c>
      <c r="AY462" s="308"/>
      <c r="AZ462" s="111"/>
      <c r="BA462" s="65">
        <f t="shared" ref="BA462" si="950">+BC462-BC461</f>
        <v>613617</v>
      </c>
      <c r="BB462" s="66"/>
      <c r="BC462" s="66">
        <v>496017405</v>
      </c>
      <c r="BD462" s="66"/>
      <c r="BE462" s="66">
        <f t="shared" ref="BE462" si="951">+D462</f>
        <v>12580</v>
      </c>
      <c r="BF462" s="66"/>
      <c r="BG462" s="144">
        <f t="shared" ref="BG462" si="952">+BE462/BA462</f>
        <v>2.0501387673418435E-2</v>
      </c>
      <c r="BH462" s="66"/>
      <c r="BI462" s="170"/>
      <c r="BJ462" s="66"/>
      <c r="BK462" s="66">
        <f t="shared" ref="BK462" si="953">SUM(BA456:BA462)</f>
        <v>5694671</v>
      </c>
      <c r="BL462" s="66"/>
      <c r="BM462" s="144">
        <f t="shared" ref="BM462" si="954">+Q462/BK462</f>
        <v>1.5088316778967565E-2</v>
      </c>
      <c r="BN462" s="65">
        <f t="shared" ref="BN462" si="955">+BC462/BW462</f>
        <v>1094961.1589403974</v>
      </c>
      <c r="BO462" s="66"/>
      <c r="BP462" s="66">
        <f t="shared" ref="BP462" si="956">+BP461+BE462</f>
        <v>32940645</v>
      </c>
      <c r="BQ462" s="66"/>
      <c r="BR462" s="435">
        <f t="shared" ref="BR462" si="957">+BP462/BC462</f>
        <v>6.6410260341570077E-2</v>
      </c>
      <c r="BS462" s="66"/>
      <c r="BT462" s="75"/>
      <c r="BU462" s="170"/>
      <c r="BV462" s="1"/>
      <c r="BW462" s="61">
        <f t="shared" si="189"/>
        <v>453</v>
      </c>
    </row>
    <row r="463" spans="2:75" x14ac:dyDescent="0.3">
      <c r="B463" s="158">
        <f t="shared" si="432"/>
        <v>44363</v>
      </c>
      <c r="C463" s="61"/>
      <c r="D463" s="17">
        <v>14063</v>
      </c>
      <c r="E463" s="16"/>
      <c r="F463" s="16"/>
      <c r="G463" s="16"/>
      <c r="H463" s="16">
        <f t="shared" ref="H463" si="958">+H462+D463</f>
        <v>33861686</v>
      </c>
      <c r="I463" s="16"/>
      <c r="J463" s="436">
        <f t="shared" ref="J463" si="959">+D463/H462</f>
        <v>4.1547969262125143E-4</v>
      </c>
      <c r="K463" s="16"/>
      <c r="L463" s="16"/>
      <c r="M463" s="16"/>
      <c r="N463" s="16">
        <f t="shared" ref="N463" si="960">SUM(D457:D463)</f>
        <v>85785</v>
      </c>
      <c r="O463" s="16">
        <f t="shared" ref="O463" si="961">+H463/BW463</f>
        <v>74585.211453744487</v>
      </c>
      <c r="P463" s="41"/>
      <c r="Q463" s="17">
        <f t="shared" ref="Q463" si="962">SUM(D457:D463)</f>
        <v>85785</v>
      </c>
      <c r="R463" s="16"/>
      <c r="S463" s="60">
        <f t="shared" ref="S463" si="963">+(Q463-Q456)/Q456</f>
        <v>-7.5423299526852977E-2</v>
      </c>
      <c r="T463" s="16"/>
      <c r="U463" s="41"/>
      <c r="V463" s="10">
        <f t="shared" si="356"/>
        <v>355</v>
      </c>
      <c r="W463" s="34">
        <v>434</v>
      </c>
      <c r="X463" s="33">
        <v>4256</v>
      </c>
      <c r="Y463" s="33"/>
      <c r="Z463" s="33">
        <f t="shared" ref="Z463" si="964">SUM(W458:W463)</f>
        <v>1868</v>
      </c>
      <c r="AA463" s="33">
        <f t="shared" ref="AA463" si="965">+AA462+W463</f>
        <v>601645</v>
      </c>
      <c r="AB463" s="33"/>
      <c r="AC463" s="46">
        <f t="shared" ref="AC463" si="966">+AA463/H463</f>
        <v>1.7767721311927588E-2</v>
      </c>
      <c r="AD463" s="33"/>
      <c r="AE463" s="33">
        <f t="shared" ref="AE463" si="967">+AA463/BW463</f>
        <v>1325.2092511013216</v>
      </c>
      <c r="AF463" s="50"/>
      <c r="AG463" s="33">
        <f t="shared" ref="AG463" si="968">SUM(W457:W463)</f>
        <v>2349</v>
      </c>
      <c r="AH463" s="33">
        <f t="shared" ref="AH463" si="969">SUM(D434:D882)</f>
        <v>1120125396.060914</v>
      </c>
      <c r="AI463" s="213">
        <f t="shared" ref="AI463" si="970">+(AG463-AG456)/AG456</f>
        <v>-0.16435432230522945</v>
      </c>
      <c r="AJ463" s="50"/>
      <c r="AK463" s="111"/>
      <c r="AL463" s="23">
        <f t="shared" ref="AL463" si="971">+AP463-AP462</f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ref="AR463" si="972">+AL463/AP462</f>
        <v>1.3224533893265477E-3</v>
      </c>
      <c r="AS463" s="25"/>
      <c r="AT463" s="25"/>
      <c r="AU463" s="24"/>
      <c r="AV463" s="298">
        <f t="shared" ref="AV463" si="973">+AP463/H463</f>
        <v>0.84509953225601353</v>
      </c>
      <c r="AW463" s="298"/>
      <c r="AX463" s="24">
        <f t="shared" ref="AX463" si="974">+AP463/BW463</f>
        <v>63031.927312775333</v>
      </c>
      <c r="AY463" s="308"/>
      <c r="AZ463" s="111"/>
      <c r="BA463" s="65">
        <f t="shared" ref="BA463" si="975">+BC463-BC462</f>
        <v>607828</v>
      </c>
      <c r="BB463" s="66"/>
      <c r="BC463" s="66">
        <v>496625233</v>
      </c>
      <c r="BD463" s="66"/>
      <c r="BE463" s="66">
        <f t="shared" ref="BE463" si="976">+D463</f>
        <v>14063</v>
      </c>
      <c r="BF463" s="66"/>
      <c r="BG463" s="144">
        <f t="shared" ref="BG463" si="977">+BE463/BA463</f>
        <v>2.3136479398777287E-2</v>
      </c>
      <c r="BH463" s="66"/>
      <c r="BI463" s="170"/>
      <c r="BJ463" s="66"/>
      <c r="BK463" s="66">
        <f t="shared" ref="BK463" si="978">SUM(BA457:BA463)</f>
        <v>5543952</v>
      </c>
      <c r="BL463" s="66"/>
      <c r="BM463" s="144">
        <f t="shared" ref="BM463" si="979">+Q463/BK463</f>
        <v>1.5473618819210557E-2</v>
      </c>
      <c r="BN463" s="65">
        <f t="shared" ref="BN463" si="980">+BC463/BW463</f>
        <v>1093888.1784140968</v>
      </c>
      <c r="BO463" s="66"/>
      <c r="BP463" s="66">
        <f t="shared" ref="BP463" si="981">+BP462+BE463</f>
        <v>32954708</v>
      </c>
      <c r="BQ463" s="66"/>
      <c r="BR463" s="435">
        <f t="shared" ref="BR463" si="982">+BP463/BC463</f>
        <v>6.6357296831109663E-2</v>
      </c>
      <c r="BS463" s="66"/>
      <c r="BT463" s="75"/>
      <c r="BU463" s="170"/>
      <c r="BV463" s="1"/>
      <c r="BW463" s="61">
        <f t="shared" si="189"/>
        <v>454</v>
      </c>
    </row>
    <row r="464" spans="2:75" x14ac:dyDescent="0.3">
      <c r="B464" s="158">
        <f t="shared" si="432"/>
        <v>44364</v>
      </c>
      <c r="C464" s="61"/>
      <c r="D464" s="17">
        <v>13733</v>
      </c>
      <c r="E464" s="16"/>
      <c r="F464" s="16"/>
      <c r="G464" s="16"/>
      <c r="H464" s="16">
        <f t="shared" ref="H464" si="983">+H463+D464</f>
        <v>33875419</v>
      </c>
      <c r="I464" s="16"/>
      <c r="J464" s="436">
        <f t="shared" ref="J464" si="984">+D464/H463</f>
        <v>4.0556161320496562E-4</v>
      </c>
      <c r="K464" s="16"/>
      <c r="L464" s="16"/>
      <c r="M464" s="16"/>
      <c r="N464" s="16">
        <f t="shared" ref="N464" si="985">SUM(D458:D464)</f>
        <v>82754</v>
      </c>
      <c r="O464" s="16">
        <f t="shared" ref="O464" si="986">+H464/BW464</f>
        <v>74451.470329670323</v>
      </c>
      <c r="P464" s="41"/>
      <c r="Q464" s="17">
        <f t="shared" ref="Q464" si="987">SUM(D458:D464)</f>
        <v>82754</v>
      </c>
      <c r="R464" s="16"/>
      <c r="S464" s="60">
        <f t="shared" ref="S464" si="988">+(Q464-Q457)/Q457</f>
        <v>-9.7813051915487434E-2</v>
      </c>
      <c r="T464" s="16"/>
      <c r="U464" s="41"/>
      <c r="V464" s="10">
        <f t="shared" si="356"/>
        <v>356</v>
      </c>
      <c r="W464" s="34">
        <v>375</v>
      </c>
      <c r="X464" s="33">
        <v>4256</v>
      </c>
      <c r="Y464" s="33"/>
      <c r="Z464" s="33">
        <f t="shared" ref="Z464" si="989">SUM(W459:W464)</f>
        <v>1822</v>
      </c>
      <c r="AA464" s="33">
        <f t="shared" ref="AA464" si="990">+AA463+W464</f>
        <v>602020</v>
      </c>
      <c r="AB464" s="33"/>
      <c r="AC464" s="46">
        <f t="shared" ref="AC464" si="991">+AA464/H464</f>
        <v>1.7771588301239906E-2</v>
      </c>
      <c r="AD464" s="33"/>
      <c r="AE464" s="33">
        <f t="shared" ref="AE464" si="992">+AA464/BW464</f>
        <v>1323.1208791208792</v>
      </c>
      <c r="AF464" s="50"/>
      <c r="AG464" s="33">
        <f t="shared" ref="AG464" si="993">SUM(W458:W464)</f>
        <v>2243</v>
      </c>
      <c r="AH464" s="33">
        <f t="shared" ref="AH464" si="994">SUM(D435:D883)</f>
        <v>1120097890.060914</v>
      </c>
      <c r="AI464" s="213">
        <f t="shared" ref="AI464" si="995">+(AG464-AG457)/AG457</f>
        <v>-0.17476085356880058</v>
      </c>
      <c r="AJ464" s="50"/>
      <c r="AK464" s="111"/>
      <c r="AL464" s="23">
        <f t="shared" ref="AL464" si="996">+AP464-AP463</f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ref="AR464" si="997">+AL464/AP463</f>
        <v>1.0241645596359723E-3</v>
      </c>
      <c r="AS464" s="25"/>
      <c r="AT464" s="25"/>
      <c r="AU464" s="24"/>
      <c r="AV464" s="298">
        <f t="shared" ref="AV464" si="998">+AP464/H464</f>
        <v>0.84562210138271643</v>
      </c>
      <c r="AW464" s="298"/>
      <c r="AX464" s="24">
        <f t="shared" ref="AX464" si="999">+AP464/BW464</f>
        <v>62957.808791208794</v>
      </c>
      <c r="AY464" s="308"/>
      <c r="AZ464" s="111"/>
      <c r="BA464" s="65">
        <f t="shared" ref="BA464" si="1000">+BC464-BC463</f>
        <v>784478</v>
      </c>
      <c r="BB464" s="66"/>
      <c r="BC464" s="66">
        <v>497409711</v>
      </c>
      <c r="BD464" s="66"/>
      <c r="BE464" s="66">
        <f t="shared" ref="BE464" si="1001">+D464</f>
        <v>13733</v>
      </c>
      <c r="BF464" s="66"/>
      <c r="BG464" s="144">
        <f t="shared" ref="BG464" si="1002">+BE464/BA464</f>
        <v>1.750590838748824E-2</v>
      </c>
      <c r="BH464" s="66"/>
      <c r="BI464" s="170"/>
      <c r="BJ464" s="66"/>
      <c r="BK464" s="66">
        <f t="shared" ref="BK464" si="1003">SUM(BA458:BA464)</f>
        <v>5409711</v>
      </c>
      <c r="BL464" s="66"/>
      <c r="BM464" s="144">
        <f t="shared" ref="BM464" si="1004">+Q464/BK464</f>
        <v>1.5297305161033557E-2</v>
      </c>
      <c r="BN464" s="65">
        <f t="shared" ref="BN464" si="1005">+BC464/BW464</f>
        <v>1093208.1560439561</v>
      </c>
      <c r="BO464" s="66"/>
      <c r="BP464" s="66">
        <f t="shared" ref="BP464" si="1006">+BP463+BE464</f>
        <v>32968441</v>
      </c>
      <c r="BQ464" s="66"/>
      <c r="BR464" s="435">
        <f t="shared" ref="BR464" si="1007">+BP464/BC464</f>
        <v>6.6280252015425575E-2</v>
      </c>
      <c r="BS464" s="66"/>
      <c r="BT464" s="75"/>
      <c r="BU464" s="170"/>
      <c r="BV464" s="1"/>
      <c r="BW464" s="61">
        <f t="shared" si="189"/>
        <v>455</v>
      </c>
    </row>
    <row r="465" spans="2:75" x14ac:dyDescent="0.3">
      <c r="B465" s="158">
        <f t="shared" si="432"/>
        <v>44365</v>
      </c>
      <c r="C465" s="61"/>
      <c r="D465" s="17">
        <v>13389</v>
      </c>
      <c r="E465" s="16"/>
      <c r="F465" s="16"/>
      <c r="G465" s="16"/>
      <c r="H465" s="16">
        <f t="shared" ref="H465" si="1008">+H464+D465</f>
        <v>33888808</v>
      </c>
      <c r="I465" s="16"/>
      <c r="J465" s="436">
        <f t="shared" ref="J465" si="1009">+D465/H464</f>
        <v>3.952423437183168E-4</v>
      </c>
      <c r="K465" s="16"/>
      <c r="L465" s="16"/>
      <c r="M465" s="16"/>
      <c r="N465" s="16">
        <f t="shared" ref="N465" si="1010">SUM(D459:D465)</f>
        <v>79998</v>
      </c>
      <c r="O465" s="16">
        <f t="shared" ref="O465" si="1011">+H465/BW465</f>
        <v>74317.561403508778</v>
      </c>
      <c r="P465" s="41"/>
      <c r="Q465" s="17">
        <f t="shared" ref="Q465" si="1012">SUM(D459:D465)</f>
        <v>79998</v>
      </c>
      <c r="R465" s="16"/>
      <c r="S465" s="60">
        <f t="shared" ref="S465" si="1013">+(Q465-Q458)/Q458</f>
        <v>-0.12037912607481363</v>
      </c>
      <c r="T465" s="16"/>
      <c r="U465" s="41"/>
      <c r="V465" s="10">
        <f t="shared" si="356"/>
        <v>357</v>
      </c>
      <c r="W465" s="34">
        <v>393</v>
      </c>
      <c r="X465" s="33">
        <v>4256</v>
      </c>
      <c r="Y465" s="33"/>
      <c r="Z465" s="33">
        <f t="shared" ref="Z465" si="1014">SUM(W460:W465)</f>
        <v>1907</v>
      </c>
      <c r="AA465" s="33">
        <f t="shared" ref="AA465" si="1015">+AA464+W465</f>
        <v>602413</v>
      </c>
      <c r="AB465" s="33"/>
      <c r="AC465" s="46">
        <f t="shared" ref="AC465" si="1016">+AA465/H465</f>
        <v>1.7776163741138374E-2</v>
      </c>
      <c r="AD465" s="33"/>
      <c r="AE465" s="33">
        <f t="shared" ref="AE465" si="1017">+AA465/BW465</f>
        <v>1321.0811403508771</v>
      </c>
      <c r="AF465" s="50"/>
      <c r="AG465" s="33">
        <f t="shared" ref="AG465" si="1018">SUM(W459:W465)</f>
        <v>2215</v>
      </c>
      <c r="AH465" s="33">
        <f t="shared" ref="AH465" si="1019">SUM(D436:D884)</f>
        <v>1120069349.060914</v>
      </c>
      <c r="AI465" s="213">
        <f t="shared" ref="AI465" si="1020">+(AG465-AG458)/AG458</f>
        <v>-0.15425735013363878</v>
      </c>
      <c r="AJ465" s="50"/>
      <c r="AK465" s="111"/>
      <c r="AL465" s="23">
        <f t="shared" ref="AL465" si="1021">+AP465-AP464</f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ref="AR465" si="1022">+AL465/AP464</f>
        <v>1.0516723863527233E-3</v>
      </c>
      <c r="AS465" s="25"/>
      <c r="AT465" s="25"/>
      <c r="AU465" s="24"/>
      <c r="AV465" s="298">
        <f t="shared" ref="AV465" si="1023">+AP465/H465</f>
        <v>0.8461769738256949</v>
      </c>
      <c r="AW465" s="298"/>
      <c r="AX465" s="24">
        <f t="shared" ref="AX465" si="1024">+AP465/BW465</f>
        <v>62885.809210526313</v>
      </c>
      <c r="AY465" s="308"/>
      <c r="AZ465" s="111"/>
      <c r="BA465" s="65">
        <f t="shared" ref="BA465" si="1025">+BC465-BC464</f>
        <v>820364</v>
      </c>
      <c r="BB465" s="66"/>
      <c r="BC465" s="66">
        <v>498230075</v>
      </c>
      <c r="BD465" s="66"/>
      <c r="BE465" s="66">
        <f t="shared" ref="BE465" si="1026">+D465</f>
        <v>13389</v>
      </c>
      <c r="BF465" s="66"/>
      <c r="BG465" s="144">
        <f t="shared" ref="BG465" si="1027">+BE465/BA465</f>
        <v>1.6320803935813859E-2</v>
      </c>
      <c r="BH465" s="66"/>
      <c r="BI465" s="170"/>
      <c r="BJ465" s="66"/>
      <c r="BK465" s="66">
        <f t="shared" ref="BK465" si="1028">SUM(BA459:BA465)</f>
        <v>4983961</v>
      </c>
      <c r="BL465" s="66"/>
      <c r="BM465" s="144">
        <f t="shared" ref="BM465" si="1029">+Q465/BK465</f>
        <v>1.6051088682275002E-2</v>
      </c>
      <c r="BN465" s="65">
        <f t="shared" ref="BN465" si="1030">+BC465/BW465</f>
        <v>1092609.8135964912</v>
      </c>
      <c r="BO465" s="66"/>
      <c r="BP465" s="66">
        <f t="shared" ref="BP465" si="1031">+BP464+BE465</f>
        <v>32981830</v>
      </c>
      <c r="BQ465" s="66"/>
      <c r="BR465" s="435">
        <f t="shared" ref="BR465" si="1032">+BP465/BC465</f>
        <v>6.619799095829372E-2</v>
      </c>
      <c r="BS465" s="66"/>
      <c r="BT465" s="75"/>
      <c r="BU465" s="170"/>
      <c r="BV465" s="1"/>
      <c r="BW465" s="61">
        <f t="shared" si="189"/>
        <v>456</v>
      </c>
    </row>
    <row r="466" spans="2:75" x14ac:dyDescent="0.3">
      <c r="B466" s="158">
        <f t="shared" si="432"/>
        <v>44366</v>
      </c>
      <c r="C466" s="61"/>
      <c r="D466" s="17">
        <v>7782</v>
      </c>
      <c r="E466" s="16"/>
      <c r="F466" s="16"/>
      <c r="G466" s="16"/>
      <c r="H466" s="16">
        <f t="shared" ref="H466" si="1033">+H465+D466</f>
        <v>33896590</v>
      </c>
      <c r="I466" s="16"/>
      <c r="J466" s="436">
        <f t="shared" ref="J466" si="1034">+D466/H465</f>
        <v>2.2963333499366516E-4</v>
      </c>
      <c r="K466" s="16"/>
      <c r="L466" s="16"/>
      <c r="M466" s="16"/>
      <c r="N466" s="16">
        <f t="shared" ref="N466" si="1035">SUM(D460:D466)</f>
        <v>78353</v>
      </c>
      <c r="O466" s="16">
        <f t="shared" ref="O466" si="1036">+H466/BW466</f>
        <v>74171.969365426703</v>
      </c>
      <c r="P466" s="41"/>
      <c r="Q466" s="17">
        <f t="shared" ref="Q466" si="1037">SUM(D460:D466)</f>
        <v>78353</v>
      </c>
      <c r="R466" s="16"/>
      <c r="S466" s="60">
        <f t="shared" ref="S466" si="1038">+(Q466-Q459)/Q459</f>
        <v>-0.11734820322180917</v>
      </c>
      <c r="T466" s="16"/>
      <c r="U466" s="41"/>
      <c r="V466" s="10">
        <f t="shared" si="356"/>
        <v>358</v>
      </c>
      <c r="W466" s="34">
        <v>170</v>
      </c>
      <c r="X466" s="33">
        <v>4256</v>
      </c>
      <c r="Y466" s="33"/>
      <c r="Z466" s="33">
        <f t="shared" ref="Z466" si="1039">SUM(W461:W466)</f>
        <v>1977</v>
      </c>
      <c r="AA466" s="33">
        <f t="shared" ref="AA466" si="1040">+AA465+W466</f>
        <v>602583</v>
      </c>
      <c r="AB466" s="33"/>
      <c r="AC466" s="46">
        <f t="shared" ref="AC466" si="1041">+AA466/H466</f>
        <v>1.7777097932269881E-2</v>
      </c>
      <c r="AD466" s="33"/>
      <c r="AE466" s="33">
        <f t="shared" ref="AE466" si="1042">+AA466/BW466</f>
        <v>1318.562363238512</v>
      </c>
      <c r="AF466" s="50"/>
      <c r="AG466" s="33">
        <f t="shared" ref="AG466" si="1043">SUM(W460:W466)</f>
        <v>2077</v>
      </c>
      <c r="AH466" s="33">
        <f t="shared" ref="AH466" si="1044">SUM(D437:D885)</f>
        <v>1120039135.060914</v>
      </c>
      <c r="AI466" s="213">
        <f t="shared" ref="AI466" si="1045">+(AG466-AG459)/AG459</f>
        <v>-0.18196140212682158</v>
      </c>
      <c r="AJ466" s="50"/>
      <c r="AK466" s="111"/>
      <c r="AL466" s="23">
        <f t="shared" ref="AL466" si="1046">+AP466-AP465</f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ref="AR466" si="1047">+AL466/AP465</f>
        <v>6.5957758508887368E-4</v>
      </c>
      <c r="AS466" s="25"/>
      <c r="AT466" s="25"/>
      <c r="AU466" s="24"/>
      <c r="AV466" s="298">
        <f t="shared" ref="AV466" si="1048">+AP466/H466</f>
        <v>0.84654069922667741</v>
      </c>
      <c r="AW466" s="298"/>
      <c r="AX466" s="24">
        <f t="shared" ref="AX466" si="1049">+AP466/BW466</f>
        <v>62789.590809628011</v>
      </c>
      <c r="AY466" s="308"/>
      <c r="AZ466" s="111"/>
      <c r="BA466" s="65">
        <f t="shared" ref="BA466" si="1050">+BC466-BC465</f>
        <v>459136</v>
      </c>
      <c r="BB466" s="66"/>
      <c r="BC466" s="66">
        <v>498689211</v>
      </c>
      <c r="BD466" s="66"/>
      <c r="BE466" s="66">
        <f t="shared" ref="BE466" si="1051">+D466</f>
        <v>7782</v>
      </c>
      <c r="BF466" s="66"/>
      <c r="BG466" s="144">
        <f t="shared" ref="BG466" si="1052">+BE466/BA466</f>
        <v>1.6949226373013659E-2</v>
      </c>
      <c r="BH466" s="66"/>
      <c r="BI466" s="170"/>
      <c r="BJ466" s="66"/>
      <c r="BK466" s="66">
        <f t="shared" ref="BK466" si="1053">SUM(BA460:BA466)</f>
        <v>4794358</v>
      </c>
      <c r="BL466" s="66"/>
      <c r="BM466" s="144">
        <f t="shared" ref="BM466" si="1054">+Q466/BK466</f>
        <v>1.6342751208816696E-2</v>
      </c>
      <c r="BN466" s="65">
        <f t="shared" ref="BN466" si="1055">+BC466/BW466</f>
        <v>1091223.6564551422</v>
      </c>
      <c r="BO466" s="66"/>
      <c r="BP466" s="66">
        <f t="shared" ref="BP466" si="1056">+BP465+BE466</f>
        <v>32989612</v>
      </c>
      <c r="BQ466" s="66"/>
      <c r="BR466" s="435">
        <f t="shared" ref="BR466" si="1057">+BP466/BC466</f>
        <v>6.6152648327497107E-2</v>
      </c>
      <c r="BS466" s="66"/>
      <c r="BT466" s="75"/>
      <c r="BU466" s="170"/>
      <c r="BV466" s="1"/>
      <c r="BW466" s="61">
        <f t="shared" si="189"/>
        <v>457</v>
      </c>
    </row>
    <row r="467" spans="2:75" x14ac:dyDescent="0.3">
      <c r="B467" s="347">
        <f t="shared" si="432"/>
        <v>44367</v>
      </c>
      <c r="C467" s="61"/>
      <c r="D467" s="17">
        <v>4422</v>
      </c>
      <c r="E467" s="16"/>
      <c r="F467" s="16"/>
      <c r="G467" s="16"/>
      <c r="H467" s="16">
        <f t="shared" ref="H467" si="1058">+H466+D467</f>
        <v>33901012</v>
      </c>
      <c r="I467" s="16"/>
      <c r="J467" s="436">
        <f t="shared" ref="J467" si="1059">+D467/H466</f>
        <v>1.3045560040110229E-4</v>
      </c>
      <c r="K467" s="16"/>
      <c r="L467" s="16"/>
      <c r="M467" s="16"/>
      <c r="N467" s="16">
        <f t="shared" ref="N467" si="1060">SUM(D461:D467)</f>
        <v>77490</v>
      </c>
      <c r="O467" s="16">
        <f t="shared" ref="O467" si="1061">+H467/BW467</f>
        <v>74019.676855895203</v>
      </c>
      <c r="P467" s="41"/>
      <c r="Q467" s="17">
        <f t="shared" ref="Q467" si="1062">SUM(D461:D467)</f>
        <v>77490</v>
      </c>
      <c r="R467" s="16"/>
      <c r="S467" s="60">
        <f t="shared" ref="S467" si="1063">+(Q467-Q460)/Q460</f>
        <v>-0.11588531267470649</v>
      </c>
      <c r="T467" s="16"/>
      <c r="U467" s="41"/>
      <c r="V467" s="10">
        <f t="shared" si="356"/>
        <v>359</v>
      </c>
      <c r="W467" s="34">
        <v>86</v>
      </c>
      <c r="X467" s="33">
        <v>4256</v>
      </c>
      <c r="Y467" s="33"/>
      <c r="Z467" s="33">
        <f t="shared" ref="Z467" si="1064">SUM(W462:W467)</f>
        <v>1811</v>
      </c>
      <c r="AA467" s="33">
        <f t="shared" ref="AA467" si="1065">+AA466+W467</f>
        <v>602669</v>
      </c>
      <c r="AB467" s="33"/>
      <c r="AC467" s="46">
        <f t="shared" ref="AC467" si="1066">+AA467/H467</f>
        <v>1.7777315910215304E-2</v>
      </c>
      <c r="AD467" s="33"/>
      <c r="AE467" s="33">
        <f t="shared" ref="AE467" si="1067">+AA467/BW467</f>
        <v>1315.8711790393013</v>
      </c>
      <c r="AF467" s="50"/>
      <c r="AG467" s="33">
        <f t="shared" ref="AG467" si="1068">SUM(W461:W467)</f>
        <v>2063</v>
      </c>
      <c r="AH467" s="33">
        <f t="shared" ref="AH467" si="1069">SUM(D438:D886)</f>
        <v>1120010121.060914</v>
      </c>
      <c r="AI467" s="213">
        <f t="shared" ref="AI467" si="1070">+(AG467-AG460)/AG460</f>
        <v>-0.16646464646464645</v>
      </c>
      <c r="AJ467" s="50"/>
      <c r="AK467" s="111"/>
      <c r="AL467" s="23">
        <f t="shared" ref="AL467" si="1071">+AP467-AP466</f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ref="AR467" si="1072">+AL467/AP466</f>
        <v>5.7404042949459597E-4</v>
      </c>
      <c r="AS467" s="25"/>
      <c r="AT467" s="25"/>
      <c r="AU467" s="24"/>
      <c r="AV467" s="298">
        <f t="shared" ref="AV467" si="1073">+AP467/H467</f>
        <v>0.84691616285673121</v>
      </c>
      <c r="AW467" s="298"/>
      <c r="AX467" s="24">
        <f t="shared" ref="AX467" si="1074">+AP467/BW467</f>
        <v>62688.46069868996</v>
      </c>
      <c r="AY467" s="308"/>
      <c r="AZ467" s="111"/>
      <c r="BA467" s="65">
        <f t="shared" ref="BA467" si="1075">+BC467-BC466</f>
        <v>372514</v>
      </c>
      <c r="BB467" s="66"/>
      <c r="BC467" s="66">
        <v>499061725</v>
      </c>
      <c r="BD467" s="66"/>
      <c r="BE467" s="66">
        <f t="shared" ref="BE467" si="1076">+D467</f>
        <v>4422</v>
      </c>
      <c r="BF467" s="66"/>
      <c r="BG467" s="144">
        <f t="shared" ref="BG467" si="1077">+BE467/BA467</f>
        <v>1.1870694792678932E-2</v>
      </c>
      <c r="BH467" s="66"/>
      <c r="BI467" s="170"/>
      <c r="BJ467" s="66"/>
      <c r="BK467" s="66">
        <f t="shared" ref="BK467" si="1078">SUM(BA461:BA467)</f>
        <v>4712064</v>
      </c>
      <c r="BL467" s="66"/>
      <c r="BM467" s="144">
        <f t="shared" ref="BM467" si="1079">+Q467/BK467</f>
        <v>1.6445022818026241E-2</v>
      </c>
      <c r="BN467" s="65">
        <f t="shared" ref="BN467" si="1080">+BC467/BW467</f>
        <v>1089654.4213973798</v>
      </c>
      <c r="BO467" s="66"/>
      <c r="BP467" s="66">
        <f t="shared" ref="BP467" si="1081">+BP466+BE467</f>
        <v>32994034</v>
      </c>
      <c r="BQ467" s="66"/>
      <c r="BR467" s="435">
        <f t="shared" ref="BR467" si="1082">+BP467/BC467</f>
        <v>6.6112130718900555E-2</v>
      </c>
      <c r="BS467" s="66"/>
      <c r="BT467" s="75"/>
      <c r="BU467" s="170"/>
      <c r="BV467" s="1"/>
      <c r="BW467" s="61">
        <f t="shared" si="189"/>
        <v>458</v>
      </c>
    </row>
    <row r="468" spans="2:75" x14ac:dyDescent="0.3">
      <c r="B468" s="158">
        <f t="shared" si="432"/>
        <v>44368</v>
      </c>
      <c r="C468" s="61"/>
      <c r="D468" s="17">
        <v>9755</v>
      </c>
      <c r="E468" s="16"/>
      <c r="F468" s="16"/>
      <c r="G468" s="16"/>
      <c r="H468" s="16">
        <f t="shared" ref="H468" si="1083">+H467+D468</f>
        <v>33910767</v>
      </c>
      <c r="I468" s="16"/>
      <c r="J468" s="436">
        <f t="shared" ref="J468" si="1084">+D468/H467</f>
        <v>2.8774952204966626E-4</v>
      </c>
      <c r="K468" s="16"/>
      <c r="L468" s="16"/>
      <c r="M468" s="16"/>
      <c r="N468" s="16">
        <f t="shared" ref="N468" si="1085">SUM(D462:D468)</f>
        <v>75724</v>
      </c>
      <c r="O468" s="16">
        <f t="shared" ref="O468" si="1086">+H468/BW468</f>
        <v>73879.666666666672</v>
      </c>
      <c r="P468" s="41"/>
      <c r="Q468" s="17">
        <f t="shared" ref="Q468" si="1087">SUM(D462:D468)</f>
        <v>75724</v>
      </c>
      <c r="R468" s="16"/>
      <c r="S468" s="60">
        <f t="shared" ref="S468" si="1088">+(Q468-Q461)/Q461</f>
        <v>-0.12845715601081889</v>
      </c>
      <c r="T468" s="16"/>
      <c r="U468" s="41"/>
      <c r="V468" s="10">
        <f t="shared" si="356"/>
        <v>360</v>
      </c>
      <c r="W468" s="34">
        <v>237</v>
      </c>
      <c r="X468" s="33">
        <v>4256</v>
      </c>
      <c r="Y468" s="33"/>
      <c r="Z468" s="33">
        <f t="shared" ref="Z468" si="1089">SUM(W463:W468)</f>
        <v>1695</v>
      </c>
      <c r="AA468" s="33">
        <f t="shared" ref="AA468" si="1090">+AA467+W468</f>
        <v>602906</v>
      </c>
      <c r="AB468" s="33"/>
      <c r="AC468" s="46">
        <f t="shared" ref="AC468" si="1091">+AA468/H468</f>
        <v>1.7779190898277234E-2</v>
      </c>
      <c r="AD468" s="33"/>
      <c r="AE468" s="33">
        <f t="shared" ref="AE468" si="1092">+AA468/BW468</f>
        <v>1313.520697167756</v>
      </c>
      <c r="AF468" s="50"/>
      <c r="AG468" s="33">
        <f t="shared" ref="AG468" si="1093">SUM(W462:W468)</f>
        <v>2048</v>
      </c>
      <c r="AH468" s="33">
        <f t="shared" ref="AH468" si="1094">SUM(D439:D887)</f>
        <v>1119990482.060914</v>
      </c>
      <c r="AI468" s="213">
        <f t="shared" ref="AI468" si="1095">+(AG468-AG461)/AG461</f>
        <v>-0.15196687370600415</v>
      </c>
      <c r="AJ468" s="50"/>
      <c r="AK468" s="111"/>
      <c r="AL468" s="23">
        <f t="shared" ref="AL468" si="1096">+AP468-AP467</f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ref="AR468" si="1097">+AL468/AP467</f>
        <v>2.8150922380253221E-3</v>
      </c>
      <c r="AS468" s="25"/>
      <c r="AT468" s="25"/>
      <c r="AU468" s="24"/>
      <c r="AV468" s="298">
        <f t="shared" ref="AV468" si="1098">+AP468/H468</f>
        <v>0.84905599451643188</v>
      </c>
      <c r="AW468" s="298"/>
      <c r="AX468" s="24">
        <f t="shared" ref="AX468" si="1099">+AP468/BW468</f>
        <v>62727.973856209152</v>
      </c>
      <c r="AY468" s="308"/>
      <c r="AZ468" s="111"/>
      <c r="BA468" s="65">
        <f t="shared" ref="BA468" si="1100">+BC468-BC467</f>
        <v>1247281</v>
      </c>
      <c r="BB468" s="66"/>
      <c r="BC468" s="66">
        <v>500309006</v>
      </c>
      <c r="BD468" s="66"/>
      <c r="BE468" s="66">
        <f t="shared" ref="BE468" si="1101">+D468</f>
        <v>9755</v>
      </c>
      <c r="BF468" s="66"/>
      <c r="BG468" s="144">
        <f t="shared" ref="BG468" si="1102">+BE468/BA468</f>
        <v>7.8210122658807432E-3</v>
      </c>
      <c r="BH468" s="66"/>
      <c r="BI468" s="170"/>
      <c r="BJ468" s="66"/>
      <c r="BK468" s="66">
        <f t="shared" ref="BK468" si="1103">SUM(BA462:BA468)</f>
        <v>4905218</v>
      </c>
      <c r="BL468" s="66"/>
      <c r="BM468" s="144">
        <f t="shared" ref="BM468" si="1104">+Q468/BK468</f>
        <v>1.5437438254528138E-2</v>
      </c>
      <c r="BN468" s="65">
        <f t="shared" ref="BN468" si="1105">+BC468/BW468</f>
        <v>1089997.834422658</v>
      </c>
      <c r="BO468" s="66"/>
      <c r="BP468" s="66">
        <f t="shared" ref="BP468" si="1106">+BP467+BE468</f>
        <v>33003789</v>
      </c>
      <c r="BQ468" s="66"/>
      <c r="BR468" s="435">
        <f t="shared" ref="BR468" si="1107">+BP468/BC468</f>
        <v>6.5966809719991332E-2</v>
      </c>
      <c r="BS468" s="66"/>
      <c r="BT468" s="75"/>
      <c r="BU468" s="170"/>
      <c r="BV468" s="1"/>
      <c r="BW468" s="61">
        <f t="shared" si="189"/>
        <v>459</v>
      </c>
    </row>
    <row r="469" spans="2:75" x14ac:dyDescent="0.3">
      <c r="B469" s="158">
        <f t="shared" si="432"/>
        <v>44369</v>
      </c>
      <c r="C469" s="61"/>
      <c r="D469" s="17">
        <v>12874</v>
      </c>
      <c r="E469" s="16"/>
      <c r="F469" s="16"/>
      <c r="G469" s="16"/>
      <c r="H469" s="16">
        <f t="shared" ref="H469" si="1108">+H468+D469</f>
        <v>33923641</v>
      </c>
      <c r="I469" s="16"/>
      <c r="J469" s="436">
        <f t="shared" ref="J469" si="1109">+D469/H468</f>
        <v>3.7964343301347326E-4</v>
      </c>
      <c r="K469" s="16"/>
      <c r="L469" s="16"/>
      <c r="M469" s="16"/>
      <c r="N469" s="16">
        <f t="shared" ref="N469" si="1110">SUM(D463:D469)</f>
        <v>76018</v>
      </c>
      <c r="O469" s="16">
        <f t="shared" ref="O469" si="1111">+H469/BW469</f>
        <v>73747.045652173911</v>
      </c>
      <c r="P469" s="41"/>
      <c r="Q469" s="17">
        <f t="shared" ref="Q469" si="1112">SUM(D463:D469)</f>
        <v>76018</v>
      </c>
      <c r="R469" s="16"/>
      <c r="S469" s="60">
        <f t="shared" ref="S469" si="1113">+(Q469-Q462)/Q462</f>
        <v>-0.11527763229868604</v>
      </c>
      <c r="T469" s="16"/>
      <c r="U469" s="41"/>
      <c r="V469" s="10">
        <f t="shared" si="356"/>
        <v>361</v>
      </c>
      <c r="W469" s="34">
        <v>431</v>
      </c>
      <c r="X469" s="33">
        <v>4256</v>
      </c>
      <c r="Y469" s="33"/>
      <c r="Z469" s="33">
        <f t="shared" ref="Z469" si="1114">SUM(W464:W469)</f>
        <v>1692</v>
      </c>
      <c r="AA469" s="33">
        <f t="shared" ref="AA469" si="1115">+AA468+W469</f>
        <v>603337</v>
      </c>
      <c r="AB469" s="33"/>
      <c r="AC469" s="46">
        <f t="shared" ref="AC469" si="1116">+AA469/H469</f>
        <v>1.7785148710894566E-2</v>
      </c>
      <c r="AD469" s="33"/>
      <c r="AE469" s="33">
        <f t="shared" ref="AE469" si="1117">+AA469/BW469</f>
        <v>1311.6021739130435</v>
      </c>
      <c r="AF469" s="50"/>
      <c r="AG469" s="33">
        <f t="shared" ref="AG469" si="1118">SUM(W463:W469)</f>
        <v>2126</v>
      </c>
      <c r="AH469" s="33">
        <f t="shared" ref="AH469" si="1119">SUM(D440:D888)</f>
        <v>1119976941.060914</v>
      </c>
      <c r="AI469" s="213">
        <f t="shared" ref="AI469" si="1120">+(AG469-AG462)/AG462</f>
        <v>-0.10181664554288128</v>
      </c>
      <c r="AJ469" s="50"/>
      <c r="AK469" s="111"/>
      <c r="AL469" s="23">
        <f t="shared" ref="AL469" si="1121">+AP469-AP468</f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ref="AR469" si="1122">+AL469/AP468</f>
        <v>1.0292739615742352E-3</v>
      </c>
      <c r="AS469" s="25"/>
      <c r="AT469" s="25"/>
      <c r="AU469" s="24"/>
      <c r="AV469" s="298">
        <f t="shared" ref="AV469" si="1123">+AP469/H469</f>
        <v>0.84960735788944353</v>
      </c>
      <c r="AW469" s="298"/>
      <c r="AX469" s="24">
        <f t="shared" ref="AX469" si="1124">+AP469/BW469</f>
        <v>62656.032608695656</v>
      </c>
      <c r="AY469" s="308"/>
      <c r="AZ469" s="111"/>
      <c r="BA469" s="65">
        <f t="shared" ref="BA469" si="1125">+BC469-BC468</f>
        <v>481846</v>
      </c>
      <c r="BB469" s="66"/>
      <c r="BC469" s="66">
        <v>500790852</v>
      </c>
      <c r="BD469" s="66"/>
      <c r="BE469" s="66">
        <f t="shared" ref="BE469" si="1126">+D469</f>
        <v>12874</v>
      </c>
      <c r="BF469" s="66"/>
      <c r="BG469" s="144">
        <f t="shared" ref="BG469" si="1127">+BE469/BA469</f>
        <v>2.6718080050472558E-2</v>
      </c>
      <c r="BH469" s="66"/>
      <c r="BI469" s="170"/>
      <c r="BJ469" s="66"/>
      <c r="BK469" s="66">
        <f t="shared" ref="BK469" si="1128">SUM(BA463:BA469)</f>
        <v>4773447</v>
      </c>
      <c r="BL469" s="66"/>
      <c r="BM469" s="144">
        <f t="shared" ref="BM469" si="1129">+Q469/BK469</f>
        <v>1.5925179435322106E-2</v>
      </c>
      <c r="BN469" s="65">
        <f t="shared" ref="BN469" si="1130">+BC469/BW469</f>
        <v>1088675.7652173913</v>
      </c>
      <c r="BO469" s="66"/>
      <c r="BP469" s="66">
        <f t="shared" ref="BP469" si="1131">+BP468+BE469</f>
        <v>33016663</v>
      </c>
      <c r="BQ469" s="66"/>
      <c r="BR469" s="435">
        <f t="shared" ref="BR469" si="1132">+BP469/BC469</f>
        <v>6.5929045764597946E-2</v>
      </c>
      <c r="BS469" s="66"/>
      <c r="BT469" s="75"/>
      <c r="BU469" s="170"/>
      <c r="BV469" s="1"/>
      <c r="BW469" s="61">
        <f t="shared" si="189"/>
        <v>460</v>
      </c>
    </row>
    <row r="470" spans="2:75" x14ac:dyDescent="0.3">
      <c r="B470" s="158">
        <f t="shared" si="432"/>
        <v>44370</v>
      </c>
      <c r="C470" s="61"/>
      <c r="D470" s="17">
        <v>13365</v>
      </c>
      <c r="E470" s="16"/>
      <c r="F470" s="16"/>
      <c r="G470" s="16"/>
      <c r="H470" s="16">
        <f t="shared" ref="H470" si="1133">+H469+D470</f>
        <v>33937006</v>
      </c>
      <c r="I470" s="16"/>
      <c r="J470" s="436">
        <f t="shared" ref="J470" si="1134">+D470/H469</f>
        <v>3.9397304080655729E-4</v>
      </c>
      <c r="K470" s="16"/>
      <c r="L470" s="16"/>
      <c r="M470" s="16"/>
      <c r="N470" s="16">
        <f t="shared" ref="N470" si="1135">SUM(D464:D470)</f>
        <v>75320</v>
      </c>
      <c r="O470" s="16">
        <f t="shared" ref="O470" si="1136">+H470/BW470</f>
        <v>73616.065075921913</v>
      </c>
      <c r="P470" s="41"/>
      <c r="Q470" s="17">
        <f t="shared" ref="Q470" si="1137">SUM(D464:D470)</f>
        <v>75320</v>
      </c>
      <c r="R470" s="16"/>
      <c r="S470" s="60">
        <f t="shared" ref="S470" si="1138">+(Q470-Q463)/Q463</f>
        <v>-0.12199102407180742</v>
      </c>
      <c r="T470" s="16"/>
      <c r="U470" s="41"/>
      <c r="V470" s="10">
        <f t="shared" si="356"/>
        <v>362</v>
      </c>
      <c r="W470" s="34">
        <v>329</v>
      </c>
      <c r="X470" s="33">
        <v>4256</v>
      </c>
      <c r="Y470" s="33"/>
      <c r="Z470" s="33">
        <f t="shared" ref="Z470" si="1139">SUM(W465:W470)</f>
        <v>1646</v>
      </c>
      <c r="AA470" s="33">
        <f t="shared" ref="AA470" si="1140">+AA469+W470</f>
        <v>603666</v>
      </c>
      <c r="AB470" s="33"/>
      <c r="AC470" s="46">
        <f t="shared" ref="AC470" si="1141">+AA470/H470</f>
        <v>1.7787839033295984E-2</v>
      </c>
      <c r="AD470" s="33"/>
      <c r="AE470" s="33">
        <f t="shared" ref="AE470" si="1142">+AA470/BW470</f>
        <v>1309.4707158351409</v>
      </c>
      <c r="AF470" s="50"/>
      <c r="AG470" s="33">
        <f t="shared" ref="AG470" si="1143">SUM(W464:W470)</f>
        <v>2021</v>
      </c>
      <c r="AH470" s="33">
        <f t="shared" ref="AH470" si="1144">SUM(D441:D889)</f>
        <v>1119956575.060914</v>
      </c>
      <c r="AI470" s="213">
        <f t="shared" ref="AI470" si="1145">+(AG470-AG463)/AG463</f>
        <v>-0.13963388676032354</v>
      </c>
      <c r="AJ470" s="50"/>
      <c r="AK470" s="111"/>
      <c r="AL470" s="23">
        <f t="shared" ref="AL470" si="1146">+AP470-AP469</f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ref="AR470" si="1147">+AL470/AP469</f>
        <v>1.0216927999750188E-3</v>
      </c>
      <c r="AS470" s="25"/>
      <c r="AT470" s="25"/>
      <c r="AU470" s="24"/>
      <c r="AV470" s="298">
        <f t="shared" ref="AV470" si="1148">+AP470/H470</f>
        <v>0.85014046318641068</v>
      </c>
      <c r="AW470" s="298"/>
      <c r="AX470" s="24">
        <f t="shared" ref="AX470" si="1149">+AP470/BW470</f>
        <v>62583.995661605208</v>
      </c>
      <c r="AY470" s="308"/>
      <c r="AZ470" s="111"/>
      <c r="BA470" s="65">
        <f t="shared" ref="BA470" si="1150">+BC470-BC469</f>
        <v>889271</v>
      </c>
      <c r="BB470" s="66"/>
      <c r="BC470" s="66">
        <f>502180123-500000</f>
        <v>501680123</v>
      </c>
      <c r="BD470" s="66"/>
      <c r="BE470" s="66">
        <f t="shared" ref="BE470" si="1151">+D470</f>
        <v>13365</v>
      </c>
      <c r="BF470" s="66"/>
      <c r="BG470" s="144">
        <f t="shared" ref="BG470" si="1152">+BE470/BA470</f>
        <v>1.5029164337980211E-2</v>
      </c>
      <c r="BH470" s="66"/>
      <c r="BI470" s="170"/>
      <c r="BJ470" s="66"/>
      <c r="BK470" s="66">
        <f t="shared" ref="BK470" si="1153">SUM(BA464:BA470)</f>
        <v>5054890</v>
      </c>
      <c r="BL470" s="66"/>
      <c r="BM470" s="144">
        <f t="shared" ref="BM470" si="1154">+Q470/BK470</f>
        <v>1.4900423154608705E-2</v>
      </c>
      <c r="BN470" s="65">
        <f t="shared" ref="BN470" si="1155">+BC470/BW470</f>
        <v>1088243.2169197397</v>
      </c>
      <c r="BO470" s="66"/>
      <c r="BP470" s="66">
        <f t="shared" ref="BP470" si="1156">+BP469+BE470</f>
        <v>33030028</v>
      </c>
      <c r="BQ470" s="66"/>
      <c r="BR470" s="435">
        <f t="shared" ref="BR470" si="1157">+BP470/BC470</f>
        <v>6.5838821363867345E-2</v>
      </c>
      <c r="BS470" s="66"/>
      <c r="BT470" s="75"/>
      <c r="BU470" s="170"/>
      <c r="BV470" s="1"/>
      <c r="BW470" s="61">
        <f t="shared" si="189"/>
        <v>461</v>
      </c>
    </row>
    <row r="471" spans="2:75" x14ac:dyDescent="0.3">
      <c r="B471" s="158">
        <f t="shared" si="432"/>
        <v>44371</v>
      </c>
      <c r="C471" s="61"/>
      <c r="D471" s="17">
        <v>15460</v>
      </c>
      <c r="E471" s="16"/>
      <c r="F471" s="16"/>
      <c r="G471" s="16"/>
      <c r="H471" s="16">
        <f t="shared" ref="H471" si="1158">+H470+D471</f>
        <v>33952466</v>
      </c>
      <c r="I471" s="16"/>
      <c r="J471" s="436">
        <f t="shared" ref="J471" si="1159">+D471/H470</f>
        <v>4.555499091463755E-4</v>
      </c>
      <c r="K471" s="16"/>
      <c r="L471" s="16"/>
      <c r="M471" s="16"/>
      <c r="N471" s="16">
        <f t="shared" ref="N471" si="1160">SUM(D465:D471)</f>
        <v>77047</v>
      </c>
      <c r="O471" s="16">
        <f t="shared" ref="O471" si="1161">+H471/BW471</f>
        <v>73490.186147186148</v>
      </c>
      <c r="P471" s="41"/>
      <c r="Q471" s="17">
        <f t="shared" ref="Q471" si="1162">SUM(D465:D471)</f>
        <v>77047</v>
      </c>
      <c r="R471" s="16"/>
      <c r="S471" s="60">
        <f t="shared" ref="S471" si="1163">+(Q471-Q464)/Q464</f>
        <v>-6.8963433791720041E-2</v>
      </c>
      <c r="T471" s="16"/>
      <c r="U471" s="41"/>
      <c r="V471" s="10">
        <f t="shared" si="356"/>
        <v>363</v>
      </c>
      <c r="W471" s="34">
        <v>380</v>
      </c>
      <c r="X471" s="33">
        <v>4256</v>
      </c>
      <c r="Y471" s="33"/>
      <c r="Z471" s="33">
        <f t="shared" ref="Z471" si="1164">SUM(W466:W471)</f>
        <v>1633</v>
      </c>
      <c r="AA471" s="33">
        <f t="shared" ref="AA471" si="1165">+AA470+W471</f>
        <v>604046</v>
      </c>
      <c r="AB471" s="33"/>
      <c r="AC471" s="46">
        <f t="shared" ref="AC471" si="1166">+AA471/H471</f>
        <v>1.7790931592421004E-2</v>
      </c>
      <c r="AD471" s="33"/>
      <c r="AE471" s="33">
        <f t="shared" ref="AE471" si="1167">+AA471/BW471</f>
        <v>1307.4588744588746</v>
      </c>
      <c r="AF471" s="50"/>
      <c r="AG471" s="33">
        <f t="shared" ref="AG471" si="1168">SUM(W465:W471)</f>
        <v>2026</v>
      </c>
      <c r="AH471" s="33">
        <f t="shared" ref="AH471" si="1169">SUM(D442:D890)</f>
        <v>1119933837.060914</v>
      </c>
      <c r="AI471" s="213">
        <f t="shared" ref="AI471" si="1170">+(AG471-AG464)/AG464</f>
        <v>-9.6745430227374057E-2</v>
      </c>
      <c r="AJ471" s="50"/>
      <c r="AK471" s="111" t="s">
        <v>26</v>
      </c>
      <c r="AL471" s="23">
        <f t="shared" ref="AL471" si="1171">+AP471-AP470</f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ref="AR471" si="1172">+AL471/AP470</f>
        <v>8.0807669082439554E-4</v>
      </c>
      <c r="AS471" s="25"/>
      <c r="AT471" s="25"/>
      <c r="AU471" s="24"/>
      <c r="AV471" s="298">
        <f t="shared" ref="AV471" si="1173">+AP471/H471</f>
        <v>0.85044002400296936</v>
      </c>
      <c r="AW471" s="298"/>
      <c r="AX471" s="24">
        <f t="shared" ref="AX471" si="1174">+AP471/BW471</f>
        <v>62498.995670995668</v>
      </c>
      <c r="AY471" s="308"/>
      <c r="AZ471" s="111" t="s">
        <v>26</v>
      </c>
      <c r="BA471" s="65">
        <f t="shared" ref="BA471" si="1175">+BC471-BC470</f>
        <v>500000</v>
      </c>
      <c r="BB471" s="66"/>
      <c r="BC471" s="66">
        <v>502180123</v>
      </c>
      <c r="BD471" s="66"/>
      <c r="BE471" s="66">
        <f t="shared" ref="BE471" si="1176">+D471</f>
        <v>15460</v>
      </c>
      <c r="BF471" s="66"/>
      <c r="BG471" s="144">
        <f t="shared" ref="BG471" si="1177">+BE471/BA471</f>
        <v>3.092E-2</v>
      </c>
      <c r="BH471" s="66"/>
      <c r="BI471" s="170"/>
      <c r="BJ471" s="66"/>
      <c r="BK471" s="66">
        <f t="shared" ref="BK471" si="1178">SUM(BA465:BA471)</f>
        <v>4770412</v>
      </c>
      <c r="BL471" s="66"/>
      <c r="BM471" s="144">
        <f t="shared" ref="BM471" si="1179">+Q471/BK471</f>
        <v>1.6151015887097383E-2</v>
      </c>
      <c r="BN471" s="65">
        <f t="shared" ref="BN471" si="1180">+BC471/BW471</f>
        <v>1086969.9632034632</v>
      </c>
      <c r="BO471" s="66"/>
      <c r="BP471" s="66">
        <f t="shared" ref="BP471" si="1181">+BP470+BE471</f>
        <v>33045488</v>
      </c>
      <c r="BQ471" s="66"/>
      <c r="BR471" s="435">
        <f t="shared" ref="BR471" si="1182">+BP471/BC471</f>
        <v>6.580405413616898E-2</v>
      </c>
      <c r="BS471" s="66"/>
      <c r="BT471" s="75"/>
      <c r="BU471" s="170"/>
      <c r="BV471" s="1"/>
      <c r="BW471" s="61">
        <f t="shared" ref="BW471:BW530" si="1183">+BW470+1</f>
        <v>462</v>
      </c>
    </row>
    <row r="472" spans="2:75" x14ac:dyDescent="0.3">
      <c r="B472" s="158">
        <f t="shared" si="432"/>
        <v>44372</v>
      </c>
      <c r="C472" s="61"/>
      <c r="D472" s="17">
        <v>15537</v>
      </c>
      <c r="E472" s="16"/>
      <c r="F472" s="16"/>
      <c r="G472" s="16"/>
      <c r="H472" s="16">
        <f t="shared" ref="H472" si="1184">+H471+D472</f>
        <v>33968003</v>
      </c>
      <c r="I472" s="16"/>
      <c r="J472" s="436">
        <f t="shared" ref="J472" si="1185">+D472/H471</f>
        <v>4.5761035442904206E-4</v>
      </c>
      <c r="K472" s="16"/>
      <c r="L472" s="16"/>
      <c r="M472" s="16"/>
      <c r="N472" s="16">
        <f t="shared" ref="N472" si="1186">SUM(D466:D472)</f>
        <v>79195</v>
      </c>
      <c r="O472" s="16">
        <f t="shared" ref="O472" si="1187">+H472/BW472</f>
        <v>73365.017278617714</v>
      </c>
      <c r="P472" s="41"/>
      <c r="Q472" s="17">
        <f t="shared" ref="Q472" si="1188">SUM(D466:D472)</f>
        <v>79195</v>
      </c>
      <c r="R472" s="16"/>
      <c r="S472" s="60">
        <f t="shared" ref="S472" si="1189">+(Q472-Q465)/Q465</f>
        <v>-1.0037750943773594E-2</v>
      </c>
      <c r="T472" s="16"/>
      <c r="U472" s="41"/>
      <c r="V472" s="10">
        <f t="shared" si="356"/>
        <v>364</v>
      </c>
      <c r="W472" s="34">
        <v>387</v>
      </c>
      <c r="X472" s="33">
        <v>4256</v>
      </c>
      <c r="Y472" s="33"/>
      <c r="Z472" s="33">
        <f t="shared" ref="Z472" si="1190">SUM(W467:W472)</f>
        <v>1850</v>
      </c>
      <c r="AA472" s="33">
        <f t="shared" ref="AA472" si="1191">+AA471+W472</f>
        <v>604433</v>
      </c>
      <c r="AB472" s="33"/>
      <c r="AC472" s="46">
        <f t="shared" ref="AC472" si="1192">+AA472/H472</f>
        <v>1.7794187076584984E-2</v>
      </c>
      <c r="AD472" s="33"/>
      <c r="AE472" s="33">
        <f t="shared" ref="AE472" si="1193">+AA472/BW472</f>
        <v>1305.4708423326133</v>
      </c>
      <c r="AF472" s="50"/>
      <c r="AG472" s="33">
        <f t="shared" ref="AG472" si="1194">SUM(W466:W472)</f>
        <v>2020</v>
      </c>
      <c r="AH472" s="33">
        <f t="shared" ref="AH472" si="1195">SUM(D443:D891)</f>
        <v>1119910337.060914</v>
      </c>
      <c r="AI472" s="213">
        <f t="shared" ref="AI472" si="1196">+(AG472-AG465)/AG465</f>
        <v>-8.8036117381489837E-2</v>
      </c>
      <c r="AJ472" s="50"/>
      <c r="AK472" s="111"/>
      <c r="AL472" s="23">
        <f t="shared" ref="AL472" si="1197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" si="1198">+AL472/AP471</f>
        <v>7.9391751957503317E-4</v>
      </c>
      <c r="AS472" s="25"/>
      <c r="AT472" s="25"/>
      <c r="AU472" s="24"/>
      <c r="AV472" s="298">
        <f t="shared" ref="AV472" si="1199">+AP472/H472</f>
        <v>0.85072590225571987</v>
      </c>
      <c r="AW472" s="298"/>
      <c r="AX472" s="24">
        <f t="shared" ref="AX472" si="1200">+AP472/BW472</f>
        <v>62413.520518358535</v>
      </c>
      <c r="AY472" s="308"/>
      <c r="AZ472" s="111"/>
      <c r="BA472" s="65">
        <f t="shared" ref="BA472" si="1201">+BC472-BC471</f>
        <v>826269</v>
      </c>
      <c r="BB472" s="66"/>
      <c r="BC472" s="66">
        <v>503006392</v>
      </c>
      <c r="BD472" s="66"/>
      <c r="BE472" s="66">
        <f t="shared" ref="BE472" si="1202">+D472</f>
        <v>15537</v>
      </c>
      <c r="BF472" s="66"/>
      <c r="BG472" s="144">
        <f t="shared" ref="BG472" si="1203">+BE472/BA472</f>
        <v>1.8803803603911075E-2</v>
      </c>
      <c r="BH472" s="66"/>
      <c r="BI472" s="170"/>
      <c r="BJ472" s="66"/>
      <c r="BK472" s="66">
        <f t="shared" ref="BK472" si="1204">SUM(BA466:BA472)</f>
        <v>4776317</v>
      </c>
      <c r="BL472" s="66"/>
      <c r="BM472" s="144">
        <f t="shared" ref="BM472" si="1205">+Q472/BK472</f>
        <v>1.6580767147574168E-2</v>
      </c>
      <c r="BN472" s="65">
        <f t="shared" ref="BN472" si="1206">+BC472/BW472</f>
        <v>1086406.8941684666</v>
      </c>
      <c r="BO472" s="66"/>
      <c r="BP472" s="66">
        <f t="shared" ref="BP472" si="1207">+BP471+BE472</f>
        <v>33061025</v>
      </c>
      <c r="BQ472" s="66"/>
      <c r="BR472" s="435">
        <f t="shared" ref="BR472" si="1208">+BP472/BC472</f>
        <v>6.5726848656030595E-2</v>
      </c>
      <c r="BS472" s="66"/>
      <c r="BT472" s="75"/>
      <c r="BU472" s="170"/>
      <c r="BV472" s="1"/>
      <c r="BW472" s="61">
        <f t="shared" si="1183"/>
        <v>463</v>
      </c>
    </row>
    <row r="473" spans="2:75" x14ac:dyDescent="0.3">
      <c r="B473" s="158">
        <f t="shared" si="432"/>
        <v>44373</v>
      </c>
      <c r="C473" s="61"/>
      <c r="D473" s="17">
        <v>6586</v>
      </c>
      <c r="E473" s="16"/>
      <c r="F473" s="16"/>
      <c r="G473" s="16"/>
      <c r="H473" s="16">
        <f t="shared" ref="H473" si="1209">+H472+D473</f>
        <v>33974589</v>
      </c>
      <c r="I473" s="16"/>
      <c r="J473" s="436">
        <f t="shared" ref="J473" si="1210">+D473/H472</f>
        <v>1.9388834839657781E-4</v>
      </c>
      <c r="K473" s="16"/>
      <c r="L473" s="16"/>
      <c r="M473" s="16"/>
      <c r="N473" s="16">
        <f t="shared" ref="N473" si="1211">SUM(D467:D473)</f>
        <v>77999</v>
      </c>
      <c r="O473" s="16">
        <f t="shared" ref="O473" si="1212">+H473/BW473</f>
        <v>73221.096982758623</v>
      </c>
      <c r="P473" s="41"/>
      <c r="Q473" s="17">
        <f t="shared" ref="Q473" si="1213">SUM(D467:D473)</f>
        <v>77999</v>
      </c>
      <c r="R473" s="16"/>
      <c r="S473" s="60">
        <f t="shared" ref="S473" si="1214">+(Q473-Q466)/Q466</f>
        <v>-4.5180146261151457E-3</v>
      </c>
      <c r="T473" s="16"/>
      <c r="U473" s="41"/>
      <c r="V473" s="10">
        <f t="shared" si="356"/>
        <v>365</v>
      </c>
      <c r="W473" s="34">
        <v>149</v>
      </c>
      <c r="X473" s="33">
        <v>4256</v>
      </c>
      <c r="Y473" s="33"/>
      <c r="Z473" s="33">
        <f t="shared" ref="Z473" si="1215">SUM(W468:W473)</f>
        <v>1913</v>
      </c>
      <c r="AA473" s="33">
        <f t="shared" ref="AA473" si="1216">+AA472+W473</f>
        <v>604582</v>
      </c>
      <c r="AB473" s="33"/>
      <c r="AC473" s="46">
        <f t="shared" ref="AC473" si="1217">+AA473/H473</f>
        <v>1.7795123290527518E-2</v>
      </c>
      <c r="AD473" s="33"/>
      <c r="AE473" s="33">
        <f t="shared" ref="AE473" si="1218">+AA473/BW473</f>
        <v>1302.9784482758621</v>
      </c>
      <c r="AF473" s="50"/>
      <c r="AG473" s="33">
        <f t="shared" ref="AG473" si="1219">SUM(W467:W473)</f>
        <v>1999</v>
      </c>
      <c r="AH473" s="33">
        <f t="shared" ref="AH473" si="1220">SUM(D444:D892)</f>
        <v>1119885944.060914</v>
      </c>
      <c r="AI473" s="213">
        <f t="shared" ref="AI473" si="1221">+(AG473-AG466)/AG466</f>
        <v>-3.7554164660568129E-2</v>
      </c>
      <c r="AJ473" s="50"/>
      <c r="AK473" s="111"/>
      <c r="AL473" s="23">
        <f t="shared" ref="AL473" si="1222">+AP473-AP472</f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ref="AR473" si="1223">+AL473/AP472</f>
        <v>5.3451064557230978E-4</v>
      </c>
      <c r="AS473" s="25"/>
      <c r="AT473" s="25"/>
      <c r="AU473" s="24"/>
      <c r="AV473" s="298">
        <f t="shared" ref="AV473" si="1224">+AP473/H473</f>
        <v>0.85101562229347349</v>
      </c>
      <c r="AW473" s="298"/>
      <c r="AX473" s="24">
        <f t="shared" ref="AX473" si="1225">+AP473/BW473</f>
        <v>62312.297413793101</v>
      </c>
      <c r="AY473" s="308"/>
      <c r="AZ473" s="111"/>
      <c r="BA473" s="65">
        <f t="shared" ref="BA473" si="1226">+BC473-BC472</f>
        <v>451282</v>
      </c>
      <c r="BB473" s="66"/>
      <c r="BC473" s="66">
        <v>503457674</v>
      </c>
      <c r="BD473" s="66"/>
      <c r="BE473" s="66">
        <f t="shared" ref="BE473" si="1227">+D473</f>
        <v>6586</v>
      </c>
      <c r="BF473" s="66"/>
      <c r="BG473" s="144">
        <f t="shared" ref="BG473" si="1228">+BE473/BA473</f>
        <v>1.4593978931133969E-2</v>
      </c>
      <c r="BH473" s="66"/>
      <c r="BI473" s="170"/>
      <c r="BJ473" s="66"/>
      <c r="BK473" s="66">
        <f t="shared" ref="BK473" si="1229">SUM(BA467:BA473)</f>
        <v>4768463</v>
      </c>
      <c r="BL473" s="66"/>
      <c r="BM473" s="144">
        <f t="shared" ref="BM473" si="1230">+Q473/BK473</f>
        <v>1.6357262287659567E-2</v>
      </c>
      <c r="BN473" s="65">
        <f t="shared" ref="BN473" si="1231">+BC473/BW473</f>
        <v>1085038.0905172413</v>
      </c>
      <c r="BO473" s="66"/>
      <c r="BP473" s="66">
        <f t="shared" ref="BP473" si="1232">+BP472+BE473</f>
        <v>33067611</v>
      </c>
      <c r="BQ473" s="66"/>
      <c r="BR473" s="435">
        <f t="shared" ref="BR473" si="1233">+BP473/BC473</f>
        <v>6.56810149248018E-2</v>
      </c>
      <c r="BS473" s="66"/>
      <c r="BT473" s="75"/>
      <c r="BU473" s="170"/>
      <c r="BV473" s="1"/>
      <c r="BW473" s="61">
        <f t="shared" si="1183"/>
        <v>464</v>
      </c>
    </row>
    <row r="474" spans="2:75" x14ac:dyDescent="0.3">
      <c r="B474" s="347">
        <f t="shared" si="432"/>
        <v>44374</v>
      </c>
      <c r="C474" s="61"/>
      <c r="D474" s="17">
        <v>7306</v>
      </c>
      <c r="E474" s="16"/>
      <c r="F474" s="16"/>
      <c r="G474" s="16"/>
      <c r="H474" s="16">
        <f t="shared" ref="H474" si="1234">+H473+D474</f>
        <v>33981895</v>
      </c>
      <c r="I474" s="16"/>
      <c r="J474" s="436">
        <f t="shared" ref="J474" si="1235">+D474/H473</f>
        <v>2.1504307233856458E-4</v>
      </c>
      <c r="K474" s="16"/>
      <c r="L474" s="16"/>
      <c r="M474" s="16"/>
      <c r="N474" s="16">
        <f t="shared" ref="N474" si="1236">SUM(D468:D474)</f>
        <v>80883</v>
      </c>
      <c r="O474" s="16">
        <f t="shared" ref="O474" si="1237">+H474/BW474</f>
        <v>73079.344086021505</v>
      </c>
      <c r="P474" s="41"/>
      <c r="Q474" s="17">
        <f t="shared" ref="Q474" si="1238">SUM(D468:D474)</f>
        <v>80883</v>
      </c>
      <c r="R474" s="16"/>
      <c r="S474" s="60">
        <f t="shared" ref="S474" si="1239">+(Q474-Q467)/Q467</f>
        <v>4.3786295005807198E-2</v>
      </c>
      <c r="T474" s="16"/>
      <c r="U474" s="41"/>
      <c r="V474" s="10">
        <f t="shared" si="356"/>
        <v>366</v>
      </c>
      <c r="W474" s="34">
        <v>106</v>
      </c>
      <c r="X474" s="33">
        <v>4256</v>
      </c>
      <c r="Y474" s="33"/>
      <c r="Z474" s="33">
        <f t="shared" ref="Z474" si="1240">SUM(W469:W474)</f>
        <v>1782</v>
      </c>
      <c r="AA474" s="33">
        <f t="shared" ref="AA474" si="1241">+AA473+W474</f>
        <v>604688</v>
      </c>
      <c r="AB474" s="33"/>
      <c r="AC474" s="46">
        <f t="shared" ref="AC474" si="1242">+AA474/H474</f>
        <v>1.779441670336513E-2</v>
      </c>
      <c r="AD474" s="33"/>
      <c r="AE474" s="33">
        <f t="shared" ref="AE474" si="1243">+AA474/BW474</f>
        <v>1300.4043010752689</v>
      </c>
      <c r="AF474" s="50"/>
      <c r="AG474" s="33">
        <f t="shared" ref="AG474" si="1244">SUM(W468:W474)</f>
        <v>2019</v>
      </c>
      <c r="AH474" s="33">
        <f t="shared" ref="AH474" si="1245">SUM(D445:D893)</f>
        <v>1119863131.060914</v>
      </c>
      <c r="AI474" s="213">
        <f t="shared" ref="AI474" si="1246">+(AG474-AG467)/AG467</f>
        <v>-2.1328162869607366E-2</v>
      </c>
      <c r="AJ474" s="50"/>
      <c r="AK474" s="111"/>
      <c r="AL474" s="23">
        <f t="shared" ref="AL474" si="1247">+AP474-AP473</f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ref="AR474" si="1248">+AL474/AP473</f>
        <v>5.6037258932049242E-4</v>
      </c>
      <c r="AS474" s="25"/>
      <c r="AT474" s="25"/>
      <c r="AU474" s="24"/>
      <c r="AV474" s="298">
        <f t="shared" ref="AV474" si="1249">+AP474/H474</f>
        <v>0.85130943992381825</v>
      </c>
      <c r="AW474" s="298"/>
      <c r="AX474" s="24">
        <f t="shared" ref="AX474" si="1250">+AP474/BW474</f>
        <v>62213.135483870967</v>
      </c>
      <c r="AY474" s="308"/>
      <c r="AZ474" s="111"/>
      <c r="BA474" s="65">
        <f t="shared" ref="BA474" si="1251">+BC474-BC473</f>
        <v>366543</v>
      </c>
      <c r="BB474" s="66"/>
      <c r="BC474" s="66">
        <v>503824217</v>
      </c>
      <c r="BD474" s="66"/>
      <c r="BE474" s="66">
        <f t="shared" ref="BE474" si="1252">+D474</f>
        <v>7306</v>
      </c>
      <c r="BF474" s="66"/>
      <c r="BG474" s="144">
        <f t="shared" ref="BG474" si="1253">+BE474/BA474</f>
        <v>1.9932177125194041E-2</v>
      </c>
      <c r="BH474" s="66"/>
      <c r="BI474" s="170"/>
      <c r="BJ474" s="66"/>
      <c r="BK474" s="66">
        <f t="shared" ref="BK474" si="1254">SUM(BA468:BA474)</f>
        <v>4762492</v>
      </c>
      <c r="BL474" s="66"/>
      <c r="BM474" s="144">
        <f t="shared" ref="BM474" si="1255">+Q474/BK474</f>
        <v>1.6983335615051953E-2</v>
      </c>
      <c r="BN474" s="65">
        <f t="shared" ref="BN474" si="1256">+BC474/BW474</f>
        <v>1083492.9397849462</v>
      </c>
      <c r="BO474" s="66"/>
      <c r="BP474" s="66">
        <f t="shared" ref="BP474" si="1257">+BP473+BE474</f>
        <v>33074917</v>
      </c>
      <c r="BQ474" s="66"/>
      <c r="BR474" s="435">
        <f t="shared" ref="BR474" si="1258">+BP474/BC474</f>
        <v>6.5647731657170416E-2</v>
      </c>
      <c r="BS474" s="66"/>
      <c r="BT474" s="75"/>
      <c r="BU474" s="170"/>
      <c r="BV474" s="1"/>
      <c r="BW474" s="61">
        <f t="shared" si="1183"/>
        <v>465</v>
      </c>
    </row>
    <row r="475" spans="2:75" x14ac:dyDescent="0.3">
      <c r="B475" s="158">
        <f t="shared" si="432"/>
        <v>44375</v>
      </c>
      <c r="C475" s="61"/>
      <c r="D475" s="17">
        <v>11982</v>
      </c>
      <c r="E475" s="16"/>
      <c r="F475" s="16"/>
      <c r="G475" s="16"/>
      <c r="H475" s="16">
        <f t="shared" ref="H475" si="1259">+H474+D475</f>
        <v>33993877</v>
      </c>
      <c r="I475" s="16"/>
      <c r="J475" s="436">
        <f t="shared" ref="J475" si="1260">+D475/H474</f>
        <v>3.52599523952387E-4</v>
      </c>
      <c r="K475" s="16"/>
      <c r="L475" s="16"/>
      <c r="M475" s="16"/>
      <c r="N475" s="16">
        <f t="shared" ref="N475" si="1261">SUM(D469:D475)</f>
        <v>83110</v>
      </c>
      <c r="O475" s="16">
        <f t="shared" ref="O475" si="1262">+H475/BW475</f>
        <v>72948.2339055794</v>
      </c>
      <c r="P475" s="41"/>
      <c r="Q475" s="17">
        <f t="shared" ref="Q475" si="1263">SUM(D469:D475)</f>
        <v>83110</v>
      </c>
      <c r="R475" s="16"/>
      <c r="S475" s="60">
        <f t="shared" ref="S475" si="1264">+(Q475-Q468)/Q468</f>
        <v>9.7538429031746865E-2</v>
      </c>
      <c r="T475" s="16"/>
      <c r="U475" s="41"/>
      <c r="V475" s="10">
        <f t="shared" si="356"/>
        <v>367</v>
      </c>
      <c r="W475" s="34">
        <v>164</v>
      </c>
      <c r="X475" s="33">
        <v>4256</v>
      </c>
      <c r="Y475" s="33"/>
      <c r="Z475" s="33">
        <f t="shared" ref="Z475" si="1265">SUM(W470:W475)</f>
        <v>1515</v>
      </c>
      <c r="AA475" s="33">
        <f t="shared" ref="AA475" si="1266">+AA474+W475</f>
        <v>604852</v>
      </c>
      <c r="AB475" s="33"/>
      <c r="AC475" s="46">
        <f t="shared" ref="AC475" si="1267">+AA475/H475</f>
        <v>1.7792969010272056E-2</v>
      </c>
      <c r="AD475" s="33"/>
      <c r="AE475" s="33">
        <f t="shared" ref="AE475" si="1268">+AA475/BW475</f>
        <v>1297.9656652360516</v>
      </c>
      <c r="AF475" s="50"/>
      <c r="AG475" s="33">
        <f t="shared" ref="AG475" si="1269">SUM(W469:W475)</f>
        <v>1946</v>
      </c>
      <c r="AH475" s="33">
        <f t="shared" ref="AH475" si="1270">SUM(D446:D894)</f>
        <v>1119850470.060914</v>
      </c>
      <c r="AI475" s="213">
        <f t="shared" ref="AI475" si="1271">+(AG475-AG468)/AG468</f>
        <v>-4.98046875E-2</v>
      </c>
      <c r="AJ475" s="50"/>
      <c r="AK475" s="111"/>
      <c r="AL475" s="23">
        <f t="shared" ref="AL475" si="1272">+AP475-AP474</f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ref="AR475" si="1273">+AL475/AP474</f>
        <v>1.7197903232965221E-3</v>
      </c>
      <c r="AS475" s="25"/>
      <c r="AT475" s="25"/>
      <c r="AU475" s="24"/>
      <c r="AV475" s="298">
        <f t="shared" ref="AV475" si="1274">+AP475/H475</f>
        <v>0.85247293211068564</v>
      </c>
      <c r="AW475" s="298"/>
      <c r="AX475" s="24">
        <f t="shared" ref="AX475" si="1275">+AP475/BW475</f>
        <v>62186.394849785407</v>
      </c>
      <c r="AY475" s="308"/>
      <c r="AZ475" s="111"/>
      <c r="BA475" s="65">
        <f t="shared" ref="BA475" si="1276">+BC475-BC474</f>
        <v>1053856</v>
      </c>
      <c r="BB475" s="66"/>
      <c r="BC475" s="66">
        <v>504878073</v>
      </c>
      <c r="BD475" s="66"/>
      <c r="BE475" s="66">
        <f t="shared" ref="BE475" si="1277">+D475</f>
        <v>11982</v>
      </c>
      <c r="BF475" s="66"/>
      <c r="BG475" s="144">
        <f t="shared" ref="BG475" si="1278">+BE475/BA475</f>
        <v>1.1369674794279295E-2</v>
      </c>
      <c r="BH475" s="66"/>
      <c r="BI475" s="170"/>
      <c r="BJ475" s="66"/>
      <c r="BK475" s="66">
        <f t="shared" ref="BK475" si="1279">SUM(BA469:BA475)</f>
        <v>4569067</v>
      </c>
      <c r="BL475" s="66"/>
      <c r="BM475" s="144">
        <f t="shared" ref="BM475" si="1280">+Q475/BK475</f>
        <v>1.8189709190081914E-2</v>
      </c>
      <c r="BN475" s="65">
        <f t="shared" ref="BN475" si="1281">+BC475/BW475</f>
        <v>1083429.3412017168</v>
      </c>
      <c r="BO475" s="66"/>
      <c r="BP475" s="66">
        <f t="shared" ref="BP475" si="1282">+BP474+BE475</f>
        <v>33086899</v>
      </c>
      <c r="BQ475" s="66"/>
      <c r="BR475" s="435">
        <f t="shared" ref="BR475" si="1283">+BP475/BC475</f>
        <v>6.5534434489096932E-2</v>
      </c>
      <c r="BS475" s="66"/>
      <c r="BT475" s="75"/>
      <c r="BU475" s="170"/>
      <c r="BV475" s="1"/>
      <c r="BW475" s="61">
        <f t="shared" si="1183"/>
        <v>466</v>
      </c>
    </row>
    <row r="476" spans="2:75" x14ac:dyDescent="0.3">
      <c r="B476" s="158">
        <f t="shared" si="432"/>
        <v>44376</v>
      </c>
      <c r="C476" s="61"/>
      <c r="D476" s="17">
        <v>11427</v>
      </c>
      <c r="E476" s="16"/>
      <c r="F476" s="16"/>
      <c r="G476" s="16"/>
      <c r="H476" s="16">
        <f t="shared" ref="H476" si="1284">+H475+D476</f>
        <v>34005304</v>
      </c>
      <c r="I476" s="16"/>
      <c r="J476" s="436">
        <f t="shared" ref="J476" si="1285">+D476/H475</f>
        <v>3.3614877173321534E-4</v>
      </c>
      <c r="K476" s="16"/>
      <c r="L476" s="16"/>
      <c r="M476" s="16"/>
      <c r="N476" s="16">
        <f t="shared" ref="N476" si="1286">SUM(D470:D476)</f>
        <v>81663</v>
      </c>
      <c r="O476" s="16">
        <f t="shared" ref="O476" si="1287">+H476/BW476</f>
        <v>72816.496788008561</v>
      </c>
      <c r="P476" s="41"/>
      <c r="Q476" s="17">
        <f t="shared" ref="Q476" si="1288">SUM(D470:D476)</f>
        <v>81663</v>
      </c>
      <c r="R476" s="16"/>
      <c r="S476" s="60">
        <f t="shared" ref="S476" si="1289">+(Q476-Q469)/Q469</f>
        <v>7.4258728195953597E-2</v>
      </c>
      <c r="T476" s="16"/>
      <c r="U476" s="41"/>
      <c r="V476" s="10">
        <f t="shared" si="356"/>
        <v>368</v>
      </c>
      <c r="W476" s="34">
        <v>294</v>
      </c>
      <c r="X476" s="33">
        <v>4256</v>
      </c>
      <c r="Y476" s="33"/>
      <c r="Z476" s="33">
        <f t="shared" ref="Z476" si="1290">SUM(W471:W476)</f>
        <v>1480</v>
      </c>
      <c r="AA476" s="33">
        <f t="shared" ref="AA476" si="1291">+AA475+W476</f>
        <v>605146</v>
      </c>
      <c r="AB476" s="33"/>
      <c r="AC476" s="46">
        <f t="shared" ref="AC476" si="1292">+AA476/H476</f>
        <v>1.7795635645545177E-2</v>
      </c>
      <c r="AD476" s="33"/>
      <c r="AE476" s="33">
        <f t="shared" ref="AE476" si="1293">+AA476/BW476</f>
        <v>1295.8158458244111</v>
      </c>
      <c r="AF476" s="50"/>
      <c r="AG476" s="33">
        <f t="shared" ref="AG476" si="1294">SUM(W470:W476)</f>
        <v>1809</v>
      </c>
      <c r="AH476" s="33">
        <f t="shared" ref="AH476" si="1295">SUM(D447:D895)</f>
        <v>1119842720.060914</v>
      </c>
      <c r="AI476" s="213">
        <f t="shared" ref="AI476" si="1296">+(AG476-AG469)/AG469</f>
        <v>-0.14910630291627469</v>
      </c>
      <c r="AJ476" s="50"/>
      <c r="AK476" s="111"/>
      <c r="AL476" s="23">
        <f t="shared" ref="AL476" si="1297">+AP476-AP475</f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ref="AR476" si="1298">+AL476/AP475</f>
        <v>9.8392414332378834E-4</v>
      </c>
      <c r="AS476" s="25"/>
      <c r="AT476" s="25"/>
      <c r="AU476" s="24"/>
      <c r="AV476" s="298">
        <f t="shared" ref="AV476" si="1299">+AP476/H476</f>
        <v>0.8530249575183918</v>
      </c>
      <c r="AW476" s="298"/>
      <c r="AX476" s="24">
        <f t="shared" ref="AX476" si="1300">+AP476/BW476</f>
        <v>62114.289079229122</v>
      </c>
      <c r="AY476" s="308"/>
      <c r="AZ476" s="111"/>
      <c r="BA476" s="65">
        <f t="shared" ref="BA476" si="1301">+BC476-BC475</f>
        <v>514526</v>
      </c>
      <c r="BB476" s="66"/>
      <c r="BC476" s="66">
        <v>505392599</v>
      </c>
      <c r="BD476" s="66"/>
      <c r="BE476" s="66">
        <f t="shared" ref="BE476" si="1302">+D476</f>
        <v>11427</v>
      </c>
      <c r="BF476" s="66"/>
      <c r="BG476" s="144">
        <f t="shared" ref="BG476" si="1303">+BE476/BA476</f>
        <v>2.2208790226344248E-2</v>
      </c>
      <c r="BH476" s="66"/>
      <c r="BI476" s="170"/>
      <c r="BJ476" s="66"/>
      <c r="BK476" s="66">
        <f t="shared" ref="BK476" si="1304">SUM(BA470:BA476)</f>
        <v>4601747</v>
      </c>
      <c r="BL476" s="66"/>
      <c r="BM476" s="144">
        <f t="shared" ref="BM476" si="1305">+Q476/BK476</f>
        <v>1.7746086431957256E-2</v>
      </c>
      <c r="BN476" s="65">
        <f t="shared" ref="BN476" si="1306">+BC476/BW476</f>
        <v>1082211.1327623127</v>
      </c>
      <c r="BO476" s="66"/>
      <c r="BP476" s="66">
        <f t="shared" ref="BP476" si="1307">+BP475+BE476</f>
        <v>33098326</v>
      </c>
      <c r="BQ476" s="66"/>
      <c r="BR476" s="435">
        <f t="shared" ref="BR476" si="1308">+BP476/BC476</f>
        <v>6.5490325868424515E-2</v>
      </c>
      <c r="BS476" s="66"/>
      <c r="BT476" s="75"/>
      <c r="BU476" s="170"/>
      <c r="BV476" s="1"/>
      <c r="BW476" s="61">
        <f t="shared" si="1183"/>
        <v>467</v>
      </c>
    </row>
    <row r="477" spans="2:75" x14ac:dyDescent="0.3">
      <c r="B477" s="158">
        <f t="shared" si="432"/>
        <v>44377</v>
      </c>
      <c r="C477" s="61"/>
      <c r="D477" s="17">
        <v>14197</v>
      </c>
      <c r="E477" s="16"/>
      <c r="F477" s="16"/>
      <c r="G477" s="16"/>
      <c r="H477" s="16">
        <f t="shared" ref="H477" si="1309">+H476+D477</f>
        <v>34019501</v>
      </c>
      <c r="I477" s="16"/>
      <c r="J477" s="436">
        <f t="shared" ref="J477" si="1310">+D477/H476</f>
        <v>4.1749369451306772E-4</v>
      </c>
      <c r="K477" s="16"/>
      <c r="L477" s="16"/>
      <c r="M477" s="16"/>
      <c r="N477" s="16">
        <f t="shared" ref="N477" si="1311">SUM(D471:D477)</f>
        <v>82495</v>
      </c>
      <c r="O477" s="16">
        <f t="shared" ref="O477" si="1312">+H477/BW477</f>
        <v>72691.241452991453</v>
      </c>
      <c r="P477" s="41"/>
      <c r="Q477" s="17">
        <f t="shared" ref="Q477" si="1313">SUM(D471:D477)</f>
        <v>82495</v>
      </c>
      <c r="R477" s="16"/>
      <c r="S477" s="60">
        <f t="shared" ref="S477" si="1314">+(Q477-Q470)/Q470</f>
        <v>9.5260223048327139E-2</v>
      </c>
      <c r="T477" s="16"/>
      <c r="U477" s="41"/>
      <c r="V477" s="10">
        <f t="shared" si="356"/>
        <v>369</v>
      </c>
      <c r="W477" s="34">
        <v>249</v>
      </c>
      <c r="X477" s="33">
        <v>4256</v>
      </c>
      <c r="Y477" s="33"/>
      <c r="Z477" s="33">
        <f t="shared" ref="Z477" si="1315">SUM(W472:W477)</f>
        <v>1349</v>
      </c>
      <c r="AA477" s="33">
        <f t="shared" ref="AA477" si="1316">+AA476+W477</f>
        <v>605395</v>
      </c>
      <c r="AB477" s="33"/>
      <c r="AC477" s="46">
        <f t="shared" ref="AC477" si="1317">+AA477/H477</f>
        <v>1.7795528511720379E-2</v>
      </c>
      <c r="AD477" s="33"/>
      <c r="AE477" s="33">
        <f t="shared" ref="AE477" si="1318">+AA477/BW477</f>
        <v>1293.5790598290598</v>
      </c>
      <c r="AF477" s="50"/>
      <c r="AG477" s="33">
        <f t="shared" ref="AG477" si="1319">SUM(W471:W477)</f>
        <v>1729</v>
      </c>
      <c r="AH477" s="33">
        <f t="shared" ref="AH477" si="1320">SUM(D448:D896)</f>
        <v>1119837485.060914</v>
      </c>
      <c r="AI477" s="213">
        <f t="shared" ref="AI477" si="1321">+(AG477-AG470)/AG470</f>
        <v>-0.14448292924294903</v>
      </c>
      <c r="AJ477" s="50"/>
      <c r="AK477" s="111"/>
      <c r="AL477" s="23">
        <f t="shared" ref="AL477" si="1322">+AP477-AP476</f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ref="AR477" si="1323">+AL477/AP476</f>
        <v>6.6586519227370224E-4</v>
      </c>
      <c r="AS477" s="25"/>
      <c r="AT477" s="25"/>
      <c r="AU477" s="24"/>
      <c r="AV477" s="298">
        <f t="shared" ref="AV477" si="1324">+AP477/H477</f>
        <v>0.85323673618845852</v>
      </c>
      <c r="AW477" s="298"/>
      <c r="AX477" s="24">
        <f t="shared" ref="AX477" si="1325">+AP477/BW477</f>
        <v>62022.837606837609</v>
      </c>
      <c r="AY477" s="308"/>
      <c r="AZ477" s="111"/>
      <c r="BA477" s="65">
        <f t="shared" ref="BA477" si="1326">+BC477-BC476</f>
        <v>766529</v>
      </c>
      <c r="BB477" s="66"/>
      <c r="BC477" s="66">
        <v>506159128</v>
      </c>
      <c r="BD477" s="66"/>
      <c r="BE477" s="66">
        <f t="shared" ref="BE477" si="1327">+D477</f>
        <v>14197</v>
      </c>
      <c r="BF477" s="66"/>
      <c r="BG477" s="144">
        <f t="shared" ref="BG477" si="1328">+BE477/BA477</f>
        <v>1.8521151841613299E-2</v>
      </c>
      <c r="BH477" s="66"/>
      <c r="BI477" s="170"/>
      <c r="BJ477" s="66"/>
      <c r="BK477" s="66">
        <f t="shared" ref="BK477" si="1329">SUM(BA471:BA477)</f>
        <v>4479005</v>
      </c>
      <c r="BL477" s="66"/>
      <c r="BM477" s="144">
        <f t="shared" ref="BM477" si="1330">+Q477/BK477</f>
        <v>1.8418153138922595E-2</v>
      </c>
      <c r="BN477" s="65">
        <f t="shared" ref="BN477" si="1331">+BC477/BW477</f>
        <v>1081536.5982905983</v>
      </c>
      <c r="BO477" s="66"/>
      <c r="BP477" s="66">
        <f t="shared" ref="BP477" si="1332">+BP476+BE477</f>
        <v>33112523</v>
      </c>
      <c r="BQ477" s="66"/>
      <c r="BR477" s="435">
        <f t="shared" ref="BR477" si="1333">+BP477/BC477</f>
        <v>6.5419195601269492E-2</v>
      </c>
      <c r="BS477" s="66"/>
      <c r="BT477" s="75"/>
      <c r="BU477" s="170"/>
      <c r="BV477" s="1"/>
      <c r="BW477" s="61">
        <f t="shared" si="1183"/>
        <v>468</v>
      </c>
    </row>
    <row r="478" spans="2:75" x14ac:dyDescent="0.3">
      <c r="B478" s="158">
        <f t="shared" si="432"/>
        <v>44378</v>
      </c>
      <c r="C478" s="61"/>
      <c r="D478" s="17">
        <v>16949</v>
      </c>
      <c r="E478" s="16"/>
      <c r="F478" s="16"/>
      <c r="G478" s="16"/>
      <c r="H478" s="16">
        <f t="shared" ref="H478" si="1334">+H477+D478</f>
        <v>34036450</v>
      </c>
      <c r="I478" s="16"/>
      <c r="J478" s="436">
        <f t="shared" ref="J478" si="1335">+D478/H477</f>
        <v>4.9821424482387328E-4</v>
      </c>
      <c r="K478" s="16"/>
      <c r="L478" s="16"/>
      <c r="M478" s="16"/>
      <c r="N478" s="16">
        <f t="shared" ref="N478" si="1336">SUM(D472:D478)</f>
        <v>83984</v>
      </c>
      <c r="O478" s="16">
        <f t="shared" ref="O478" si="1337">+H478/BW478</f>
        <v>72572.388059701494</v>
      </c>
      <c r="P478" s="41"/>
      <c r="Q478" s="17">
        <f t="shared" ref="Q478" si="1338">SUM(D472:D478)</f>
        <v>83984</v>
      </c>
      <c r="R478" s="16"/>
      <c r="S478" s="60">
        <f t="shared" ref="S478" si="1339">+(Q478-Q471)/Q471</f>
        <v>9.003595208119719E-2</v>
      </c>
      <c r="T478" s="16"/>
      <c r="U478" s="41"/>
      <c r="V478" s="10">
        <f t="shared" si="356"/>
        <v>370</v>
      </c>
      <c r="W478" s="34">
        <v>315</v>
      </c>
      <c r="X478" s="33">
        <v>4256</v>
      </c>
      <c r="Y478" s="33"/>
      <c r="Z478" s="33">
        <f t="shared" ref="Z478" si="1340">SUM(W473:W478)</f>
        <v>1277</v>
      </c>
      <c r="AA478" s="33">
        <f t="shared" ref="AA478" si="1341">+AA477+W478</f>
        <v>605710</v>
      </c>
      <c r="AB478" s="33"/>
      <c r="AC478" s="46">
        <f t="shared" ref="AC478" si="1342">+AA478/H478</f>
        <v>1.7795921725091778E-2</v>
      </c>
      <c r="AD478" s="33"/>
      <c r="AE478" s="33">
        <f t="shared" ref="AE478" si="1343">+AA478/BW478</f>
        <v>1291.4925373134329</v>
      </c>
      <c r="AF478" s="50"/>
      <c r="AG478" s="33">
        <f t="shared" ref="AG478" si="1344">SUM(W472:W478)</f>
        <v>1664</v>
      </c>
      <c r="AH478" s="33">
        <f t="shared" ref="AH478" si="1345">SUM(D449:D897)</f>
        <v>1119824509.060914</v>
      </c>
      <c r="AI478" s="213">
        <f t="shared" ref="AI478" si="1346">+(AG478-AG471)/AG471</f>
        <v>-0.17867719644619942</v>
      </c>
      <c r="AJ478" s="50"/>
      <c r="AK478" s="111"/>
      <c r="AL478" s="23">
        <f t="shared" ref="AL478" si="1347">+AP478-AP477</f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ref="AR478" si="1348">+AL478/AP477</f>
        <v>8.7502232428308729E-4</v>
      </c>
      <c r="AS478" s="25"/>
      <c r="AT478" s="25"/>
      <c r="AU478" s="24"/>
      <c r="AV478" s="298">
        <f t="shared" ref="AV478" si="1349">+AP478/H478</f>
        <v>0.85355808258499344</v>
      </c>
      <c r="AW478" s="298"/>
      <c r="AX478" s="24">
        <f t="shared" ref="AX478" si="1350">+AP478/BW478</f>
        <v>61944.748400852877</v>
      </c>
      <c r="AY478" s="308"/>
      <c r="AZ478" s="111"/>
      <c r="BA478" s="65">
        <f t="shared" ref="BA478" si="1351">+BC478-BC477</f>
        <v>445484</v>
      </c>
      <c r="BB478" s="66"/>
      <c r="BC478" s="66">
        <v>506604612</v>
      </c>
      <c r="BD478" s="66"/>
      <c r="BE478" s="66">
        <f t="shared" ref="BE478" si="1352">+D478</f>
        <v>16949</v>
      </c>
      <c r="BF478" s="66"/>
      <c r="BG478" s="144">
        <f t="shared" ref="BG478" si="1353">+BE478/BA478</f>
        <v>3.8046259798331705E-2</v>
      </c>
      <c r="BH478" s="66"/>
      <c r="BI478" s="170"/>
      <c r="BJ478" s="66"/>
      <c r="BK478" s="66">
        <f t="shared" ref="BK478" si="1354">SUM(BA472:BA478)</f>
        <v>4424489</v>
      </c>
      <c r="BL478" s="66"/>
      <c r="BM478" s="144">
        <f t="shared" ref="BM478" si="1355">+Q478/BK478</f>
        <v>1.8981627030827741E-2</v>
      </c>
      <c r="BN478" s="65">
        <f t="shared" ref="BN478" si="1356">+BC478/BW478</f>
        <v>1080180.4093816632</v>
      </c>
      <c r="BO478" s="66"/>
      <c r="BP478" s="66">
        <f t="shared" ref="BP478" si="1357">+BP477+BE478</f>
        <v>33129472</v>
      </c>
      <c r="BQ478" s="66"/>
      <c r="BR478" s="435">
        <f t="shared" ref="BR478" si="1358">+BP478/BC478</f>
        <v>6.5395125143471844E-2</v>
      </c>
      <c r="BS478" s="66"/>
      <c r="BT478" s="75"/>
      <c r="BU478" s="170"/>
      <c r="BV478" s="1"/>
      <c r="BW478" s="61">
        <f t="shared" si="1183"/>
        <v>469</v>
      </c>
    </row>
    <row r="479" spans="2:75" x14ac:dyDescent="0.3">
      <c r="B479" s="158">
        <f t="shared" si="432"/>
        <v>44379</v>
      </c>
      <c r="C479" s="61"/>
      <c r="D479" s="17">
        <v>18399</v>
      </c>
      <c r="E479" s="16"/>
      <c r="F479" s="16"/>
      <c r="G479" s="16"/>
      <c r="H479" s="16">
        <f t="shared" ref="H479" si="1359">+H478+D479</f>
        <v>34054849</v>
      </c>
      <c r="I479" s="16"/>
      <c r="J479" s="436">
        <f t="shared" ref="J479" si="1360">+D479/H478</f>
        <v>5.4056753862403398E-4</v>
      </c>
      <c r="K479" s="16"/>
      <c r="L479" s="16"/>
      <c r="M479" s="16"/>
      <c r="N479" s="16">
        <f t="shared" ref="N479" si="1361">SUM(D473:D479)</f>
        <v>86846</v>
      </c>
      <c r="O479" s="16">
        <f t="shared" ref="O479" si="1362">+H479/BW479</f>
        <v>72457.125531914891</v>
      </c>
      <c r="P479" s="41"/>
      <c r="Q479" s="17">
        <f t="shared" ref="Q479" si="1363">SUM(D473:D479)</f>
        <v>86846</v>
      </c>
      <c r="R479" s="16"/>
      <c r="S479" s="60">
        <f t="shared" ref="S479" si="1364">+(Q479-Q472)/Q472</f>
        <v>9.6609634446619103E-2</v>
      </c>
      <c r="T479" s="16"/>
      <c r="U479" s="41"/>
      <c r="V479" s="10">
        <f t="shared" si="356"/>
        <v>371</v>
      </c>
      <c r="W479" s="34">
        <v>322</v>
      </c>
      <c r="X479" s="33">
        <v>4256</v>
      </c>
      <c r="Y479" s="33"/>
      <c r="Z479" s="33">
        <f t="shared" ref="Z479" si="1365">SUM(W474:W479)</f>
        <v>1450</v>
      </c>
      <c r="AA479" s="33">
        <f t="shared" ref="AA479" si="1366">+AA478+W479</f>
        <v>606032</v>
      </c>
      <c r="AB479" s="33"/>
      <c r="AC479" s="46">
        <f t="shared" ref="AC479" si="1367">+AA479/H479</f>
        <v>1.7795762359715646E-2</v>
      </c>
      <c r="AD479" s="33"/>
      <c r="AE479" s="33">
        <f t="shared" ref="AE479" si="1368">+AA479/BW479</f>
        <v>1289.4297872340426</v>
      </c>
      <c r="AF479" s="50"/>
      <c r="AG479" s="33">
        <f t="shared" ref="AG479" si="1369">SUM(W473:W479)</f>
        <v>1599</v>
      </c>
      <c r="AH479" s="33">
        <f t="shared" ref="AH479" si="1370">SUM(D450:D898)</f>
        <v>1119807535.060914</v>
      </c>
      <c r="AI479" s="213">
        <f t="shared" ref="AI479" si="1371">+(AG479-AG472)/AG472</f>
        <v>-0.20841584158415841</v>
      </c>
      <c r="AJ479" s="50"/>
      <c r="AK479" s="111"/>
      <c r="AL479" s="23">
        <f t="shared" ref="AL479" si="1372">+AP479-AP478</f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ref="AR479" si="1373">+AL479/AP478</f>
        <v>7.1574892364875545E-4</v>
      </c>
      <c r="AS479" s="25"/>
      <c r="AT479" s="25"/>
      <c r="AU479" s="24"/>
      <c r="AV479" s="298">
        <f t="shared" ref="AV479" si="1374">+AP479/H479</f>
        <v>0.85370752928606441</v>
      </c>
      <c r="AW479" s="298"/>
      <c r="AX479" s="24">
        <f t="shared" ref="AX479" si="1375">+AP479/BW479</f>
        <v>61857.193617021279</v>
      </c>
      <c r="AY479" s="308"/>
      <c r="AZ479" s="111"/>
      <c r="BA479" s="65">
        <f t="shared" ref="BA479" si="1376">+BC479-BC478</f>
        <v>741973</v>
      </c>
      <c r="BB479" s="66"/>
      <c r="BC479" s="66">
        <v>507346585</v>
      </c>
      <c r="BD479" s="66"/>
      <c r="BE479" s="66">
        <f t="shared" ref="BE479" si="1377">+D479</f>
        <v>18399</v>
      </c>
      <c r="BF479" s="66"/>
      <c r="BG479" s="144">
        <f t="shared" ref="BG479" si="1378">+BE479/BA479</f>
        <v>2.4797398288077869E-2</v>
      </c>
      <c r="BH479" s="66"/>
      <c r="BI479" s="170"/>
      <c r="BJ479" s="66"/>
      <c r="BK479" s="66">
        <f t="shared" ref="BK479" si="1379">SUM(BA473:BA479)</f>
        <v>4340193</v>
      </c>
      <c r="BL479" s="66"/>
      <c r="BM479" s="144">
        <f t="shared" ref="BM479" si="1380">+Q479/BK479</f>
        <v>2.0009709245648752E-2</v>
      </c>
      <c r="BN479" s="65">
        <f t="shared" ref="BN479" si="1381">+BC479/BW479</f>
        <v>1079460.8191489361</v>
      </c>
      <c r="BO479" s="66"/>
      <c r="BP479" s="66">
        <f t="shared" ref="BP479" si="1382">+BP478+BE479</f>
        <v>33147871</v>
      </c>
      <c r="BQ479" s="66"/>
      <c r="BR479" s="435">
        <f t="shared" ref="BR479" si="1383">+BP479/BC479</f>
        <v>6.5335752678812253E-2</v>
      </c>
      <c r="BS479" s="66"/>
      <c r="BT479" s="75"/>
      <c r="BU479" s="170"/>
      <c r="BV479" s="1"/>
      <c r="BW479" s="61">
        <f t="shared" si="1183"/>
        <v>470</v>
      </c>
    </row>
    <row r="480" spans="2:75" x14ac:dyDescent="0.3">
      <c r="B480" s="158">
        <f t="shared" si="432"/>
        <v>44380</v>
      </c>
      <c r="C480" s="61"/>
      <c r="D480" s="17">
        <v>7978</v>
      </c>
      <c r="E480" s="16"/>
      <c r="F480" s="16"/>
      <c r="G480" s="16"/>
      <c r="H480" s="16">
        <f t="shared" ref="H480" si="1384">+H479+D480</f>
        <v>34062827</v>
      </c>
      <c r="I480" s="16"/>
      <c r="J480" s="436">
        <f t="shared" ref="J480" si="1385">+D480/H479</f>
        <v>2.3426913447773619E-4</v>
      </c>
      <c r="K480" s="16"/>
      <c r="L480" s="16"/>
      <c r="M480" s="16"/>
      <c r="N480" s="16">
        <f t="shared" ref="N480" si="1386">SUM(D474:D480)</f>
        <v>88238</v>
      </c>
      <c r="O480" s="16">
        <f t="shared" ref="O480" si="1387">+H480/BW480</f>
        <v>72320.227176220811</v>
      </c>
      <c r="P480" s="41"/>
      <c r="Q480" s="17">
        <f t="shared" ref="Q480" si="1388">SUM(D474:D480)</f>
        <v>88238</v>
      </c>
      <c r="R480" s="16"/>
      <c r="S480" s="60">
        <f t="shared" ref="S480" si="1389">+(Q480-Q473)/Q473</f>
        <v>0.13127091372966321</v>
      </c>
      <c r="T480" s="16"/>
      <c r="U480" s="41"/>
      <c r="V480" s="10">
        <f t="shared" si="356"/>
        <v>372</v>
      </c>
      <c r="W480" s="34">
        <v>96</v>
      </c>
      <c r="X480" s="33">
        <v>4256</v>
      </c>
      <c r="Y480" s="33"/>
      <c r="Z480" s="33">
        <f t="shared" ref="Z480" si="1390">SUM(W475:W480)</f>
        <v>1440</v>
      </c>
      <c r="AA480" s="33">
        <f t="shared" ref="AA480" si="1391">+AA479+W480</f>
        <v>606128</v>
      </c>
      <c r="AB480" s="33"/>
      <c r="AC480" s="46">
        <f t="shared" ref="AC480" si="1392">+AA480/H480</f>
        <v>1.7794412659876996E-2</v>
      </c>
      <c r="AD480" s="33"/>
      <c r="AE480" s="33">
        <f t="shared" ref="AE480" si="1393">+AA480/BW480</f>
        <v>1286.8959660297239</v>
      </c>
      <c r="AF480" s="50"/>
      <c r="AG480" s="33">
        <f t="shared" ref="AG480" si="1394">SUM(W474:W480)</f>
        <v>1546</v>
      </c>
      <c r="AH480" s="33">
        <f t="shared" ref="AH480" si="1395">SUM(D451:D899)</f>
        <v>1119789714.060914</v>
      </c>
      <c r="AI480" s="213">
        <f t="shared" ref="AI480" si="1396">+(AG480-AG473)/AG473</f>
        <v>-0.22661330665332666</v>
      </c>
      <c r="AJ480" s="50"/>
      <c r="AK480" s="111"/>
      <c r="AL480" s="23">
        <f t="shared" ref="AL480" si="1397">+AP480-AP479</f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ref="AR480" si="1398">+AL480/AP479</f>
        <v>5.0012243368656862E-4</v>
      </c>
      <c r="AS480" s="25"/>
      <c r="AT480" s="25"/>
      <c r="AU480" s="24"/>
      <c r="AV480" s="298">
        <f t="shared" ref="AV480" si="1399">+AP480/H480</f>
        <v>0.85393443709178929</v>
      </c>
      <c r="AW480" s="298"/>
      <c r="AX480" s="24">
        <f t="shared" ref="AX480" si="1400">+AP480/BW480</f>
        <v>61756.732484076434</v>
      </c>
      <c r="AY480" s="308"/>
      <c r="AZ480" s="111"/>
      <c r="BA480" s="65">
        <f t="shared" ref="BA480" si="1401">+BC480-BC479</f>
        <v>255291</v>
      </c>
      <c r="BB480" s="66"/>
      <c r="BC480" s="66">
        <v>507601876</v>
      </c>
      <c r="BD480" s="66"/>
      <c r="BE480" s="66">
        <f t="shared" ref="BE480" si="1402">+D480</f>
        <v>7978</v>
      </c>
      <c r="BF480" s="66"/>
      <c r="BG480" s="144">
        <f t="shared" ref="BG480" si="1403">+BE480/BA480</f>
        <v>3.125061204664481E-2</v>
      </c>
      <c r="BH480" s="66"/>
      <c r="BI480" s="170"/>
      <c r="BJ480" s="66"/>
      <c r="BK480" s="66">
        <f t="shared" ref="BK480" si="1404">SUM(BA474:BA480)</f>
        <v>4144202</v>
      </c>
      <c r="BL480" s="66"/>
      <c r="BM480" s="144">
        <f t="shared" ref="BM480" si="1405">+Q480/BK480</f>
        <v>2.1291915789819125E-2</v>
      </c>
      <c r="BN480" s="65">
        <f t="shared" ref="BN480" si="1406">+BC480/BW480</f>
        <v>1077710.9893842887</v>
      </c>
      <c r="BO480" s="66"/>
      <c r="BP480" s="66">
        <f t="shared" ref="BP480" si="1407">+BP479+BE480</f>
        <v>33155849</v>
      </c>
      <c r="BQ480" s="66"/>
      <c r="BR480" s="435">
        <f t="shared" ref="BR480" si="1408">+BP480/BC480</f>
        <v>6.5318610051787906E-2</v>
      </c>
      <c r="BS480" s="66"/>
      <c r="BT480" s="75"/>
      <c r="BU480" s="170"/>
      <c r="BV480" s="1"/>
      <c r="BW480" s="61">
        <f t="shared" si="1183"/>
        <v>471</v>
      </c>
    </row>
    <row r="481" spans="2:75" x14ac:dyDescent="0.3">
      <c r="B481" s="347">
        <f t="shared" si="432"/>
        <v>44381</v>
      </c>
      <c r="C481" s="61"/>
      <c r="D481" s="17">
        <v>5749</v>
      </c>
      <c r="E481" s="16"/>
      <c r="F481" s="16"/>
      <c r="G481" s="16"/>
      <c r="H481" s="16">
        <f t="shared" ref="H481" si="1409">+H480+D481</f>
        <v>34068576</v>
      </c>
      <c r="I481" s="16"/>
      <c r="J481" s="436">
        <f t="shared" ref="J481" si="1410">+D481/H480</f>
        <v>1.6877636139830672E-4</v>
      </c>
      <c r="K481" s="16"/>
      <c r="L481" s="16"/>
      <c r="M481" s="16"/>
      <c r="N481" s="16">
        <f t="shared" ref="N481" si="1411">SUM(D475:D481)</f>
        <v>86681</v>
      </c>
      <c r="O481" s="16">
        <f t="shared" ref="O481" si="1412">+H481/BW481</f>
        <v>72179.186440677964</v>
      </c>
      <c r="P481" s="41"/>
      <c r="Q481" s="17">
        <f t="shared" ref="Q481" si="1413">SUM(D475:D481)</f>
        <v>86681</v>
      </c>
      <c r="R481" s="16"/>
      <c r="S481" s="60">
        <f t="shared" ref="S481" si="1414">+(Q481-Q474)/Q474</f>
        <v>7.1683790166042302E-2</v>
      </c>
      <c r="T481" s="16"/>
      <c r="U481" s="41"/>
      <c r="V481" s="10">
        <f t="shared" si="356"/>
        <v>373</v>
      </c>
      <c r="W481" s="34">
        <v>55</v>
      </c>
      <c r="X481" s="33">
        <v>4256</v>
      </c>
      <c r="Y481" s="33"/>
      <c r="Z481" s="33">
        <f t="shared" ref="Z481" si="1415">SUM(W476:W481)</f>
        <v>1331</v>
      </c>
      <c r="AA481" s="33">
        <f t="shared" ref="AA481" si="1416">+AA480+W481</f>
        <v>606183</v>
      </c>
      <c r="AB481" s="33"/>
      <c r="AC481" s="46">
        <f t="shared" ref="AC481" si="1417">+AA481/H481</f>
        <v>1.7793024281378828E-2</v>
      </c>
      <c r="AD481" s="33"/>
      <c r="AE481" s="33">
        <f t="shared" ref="AE481" si="1418">+AA481/BW481</f>
        <v>1284.2860169491526</v>
      </c>
      <c r="AF481" s="50"/>
      <c r="AG481" s="33">
        <f t="shared" ref="AG481" si="1419">SUM(W475:W481)</f>
        <v>1495</v>
      </c>
      <c r="AH481" s="33">
        <f t="shared" ref="AH481" si="1420">SUM(D452:D900)</f>
        <v>1119772789.060914</v>
      </c>
      <c r="AI481" s="213">
        <f t="shared" ref="AI481" si="1421">+(AG481-AG474)/AG474</f>
        <v>-0.25953442298167412</v>
      </c>
      <c r="AJ481" s="50"/>
      <c r="AK481" s="111"/>
      <c r="AL481" s="23">
        <f t="shared" ref="AL481" si="1422">+AP481-AP480</f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ref="AR481" si="1423">+AL481/AP480</f>
        <v>4.4180609893190601E-4</v>
      </c>
      <c r="AS481" s="25"/>
      <c r="AT481" s="25"/>
      <c r="AU481" s="24"/>
      <c r="AV481" s="298">
        <f t="shared" ref="AV481" si="1424">+AP481/H481</f>
        <v>0.85416754724353605</v>
      </c>
      <c r="AW481" s="298"/>
      <c r="AX481" s="24">
        <f t="shared" ref="AX481" si="1425">+AP481/BW481</f>
        <v>61653.118644067799</v>
      </c>
      <c r="AY481" s="308"/>
      <c r="AZ481" s="111"/>
      <c r="BA481" s="65">
        <f t="shared" ref="BA481" si="1426">+BC481-BC480</f>
        <v>483136</v>
      </c>
      <c r="BB481" s="66"/>
      <c r="BC481" s="66">
        <v>508085012</v>
      </c>
      <c r="BD481" s="66"/>
      <c r="BE481" s="66">
        <f t="shared" ref="BE481" si="1427">+D481</f>
        <v>5749</v>
      </c>
      <c r="BF481" s="66"/>
      <c r="BG481" s="144">
        <f t="shared" ref="BG481" si="1428">+BE481/BA481</f>
        <v>1.1899340972314213E-2</v>
      </c>
      <c r="BH481" s="66"/>
      <c r="BI481" s="170"/>
      <c r="BJ481" s="66"/>
      <c r="BK481" s="66">
        <f t="shared" ref="BK481" si="1429">SUM(BA475:BA481)</f>
        <v>4260795</v>
      </c>
      <c r="BL481" s="66"/>
      <c r="BM481" s="144">
        <f t="shared" ref="BM481" si="1430">+Q481/BK481</f>
        <v>2.0343856017480306E-2</v>
      </c>
      <c r="BN481" s="65">
        <f t="shared" ref="BN481" si="1431">+BC481/BW481</f>
        <v>1076451.2966101696</v>
      </c>
      <c r="BO481" s="66"/>
      <c r="BP481" s="66">
        <f t="shared" ref="BP481" si="1432">+BP480+BE481</f>
        <v>33161598</v>
      </c>
      <c r="BQ481" s="66"/>
      <c r="BR481" s="435">
        <f t="shared" ref="BR481" si="1433">+BP481/BC481</f>
        <v>6.5267813883083017E-2</v>
      </c>
      <c r="BS481" s="66"/>
      <c r="BT481" s="75"/>
      <c r="BU481" s="170"/>
      <c r="BV481" s="1"/>
      <c r="BW481" s="61">
        <f t="shared" si="1183"/>
        <v>472</v>
      </c>
    </row>
    <row r="482" spans="2:75" x14ac:dyDescent="0.3">
      <c r="B482" s="158">
        <f t="shared" si="432"/>
        <v>44382</v>
      </c>
      <c r="C482" s="61"/>
      <c r="D482" s="17">
        <v>5132</v>
      </c>
      <c r="E482" s="16"/>
      <c r="F482" s="16"/>
      <c r="G482" s="16"/>
      <c r="H482" s="16">
        <f t="shared" ref="H482" si="1434">+H481+D482</f>
        <v>34073708</v>
      </c>
      <c r="I482" s="16"/>
      <c r="J482" s="436">
        <f t="shared" ref="J482" si="1435">+D482/H481</f>
        <v>1.5063734979706812E-4</v>
      </c>
      <c r="K482" s="16"/>
      <c r="L482" s="16"/>
      <c r="M482" s="16"/>
      <c r="N482" s="16">
        <f t="shared" ref="N482" si="1436">SUM(D476:D482)</f>
        <v>79831</v>
      </c>
      <c r="O482" s="16">
        <f t="shared" ref="O482" si="1437">+H482/BW482</f>
        <v>72037.437632135305</v>
      </c>
      <c r="P482" s="41"/>
      <c r="Q482" s="17">
        <f t="shared" ref="Q482" si="1438">SUM(D476:D482)</f>
        <v>79831</v>
      </c>
      <c r="R482" s="16"/>
      <c r="S482" s="60">
        <f t="shared" ref="S482" si="1439">+(Q482-Q475)/Q475</f>
        <v>-3.9453736012513535E-2</v>
      </c>
      <c r="T482" s="16"/>
      <c r="U482" s="41"/>
      <c r="V482" s="10">
        <f t="shared" si="356"/>
        <v>374</v>
      </c>
      <c r="W482" s="34">
        <v>36</v>
      </c>
      <c r="X482" s="33">
        <v>4256</v>
      </c>
      <c r="Y482" s="33"/>
      <c r="Z482" s="33">
        <f t="shared" ref="Z482" si="1440">SUM(W477:W482)</f>
        <v>1073</v>
      </c>
      <c r="AA482" s="33">
        <f t="shared" ref="AA482" si="1441">+AA481+W482</f>
        <v>606219</v>
      </c>
      <c r="AB482" s="33"/>
      <c r="AC482" s="46">
        <f t="shared" ref="AC482" si="1442">+AA482/H482</f>
        <v>1.7791400924137755E-2</v>
      </c>
      <c r="AD482" s="33"/>
      <c r="AE482" s="33">
        <f t="shared" ref="AE482" si="1443">+AA482/BW482</f>
        <v>1281.6469344608879</v>
      </c>
      <c r="AF482" s="50"/>
      <c r="AG482" s="33">
        <f t="shared" ref="AG482" si="1444">SUM(W476:W482)</f>
        <v>1367</v>
      </c>
      <c r="AH482" s="33">
        <f t="shared" ref="AH482" si="1445">SUM(D453:D901)</f>
        <v>1119761186.060914</v>
      </c>
      <c r="AI482" s="213">
        <f t="shared" ref="AI482" si="1446">+(AG482-AG475)/AG475</f>
        <v>-0.29753340184994859</v>
      </c>
      <c r="AJ482" s="50"/>
      <c r="AK482" s="111"/>
      <c r="AL482" s="23">
        <f t="shared" ref="AL482" si="1447">+AP482-AP481</f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ref="AR482" si="1448">+AL482/AP481</f>
        <v>5.6673009791798512E-4</v>
      </c>
      <c r="AS482" s="25"/>
      <c r="AT482" s="25"/>
      <c r="AU482" s="24"/>
      <c r="AV482" s="298">
        <f t="shared" ref="AV482" si="1449">+AP482/H482</f>
        <v>0.85452290663522734</v>
      </c>
      <c r="AW482" s="298"/>
      <c r="AX482" s="24">
        <f t="shared" ref="AX482" si="1450">+AP482/BW482</f>
        <v>61557.64059196617</v>
      </c>
      <c r="AY482" s="308"/>
      <c r="AZ482" s="111"/>
      <c r="BA482" s="65">
        <f t="shared" ref="BA482" si="1451">+BC482-BC481</f>
        <v>380659</v>
      </c>
      <c r="BB482" s="66"/>
      <c r="BC482" s="66">
        <v>508465671</v>
      </c>
      <c r="BD482" s="66"/>
      <c r="BE482" s="66">
        <f t="shared" ref="BE482" si="1452">+D482</f>
        <v>5132</v>
      </c>
      <c r="BF482" s="66"/>
      <c r="BG482" s="144">
        <f t="shared" ref="BG482" si="1453">+BE482/BA482</f>
        <v>1.3481882734941247E-2</v>
      </c>
      <c r="BH482" s="66"/>
      <c r="BI482" s="170"/>
      <c r="BJ482" s="66"/>
      <c r="BK482" s="66">
        <f t="shared" ref="BK482" si="1454">SUM(BA476:BA482)</f>
        <v>3587598</v>
      </c>
      <c r="BL482" s="66"/>
      <c r="BM482" s="144">
        <f t="shared" ref="BM482" si="1455">+Q482/BK482</f>
        <v>2.2251935696251363E-2</v>
      </c>
      <c r="BN482" s="65">
        <f t="shared" ref="BN482" si="1456">+BC482/BW482</f>
        <v>1074980.2769556025</v>
      </c>
      <c r="BO482" s="66"/>
      <c r="BP482" s="66">
        <f t="shared" ref="BP482" si="1457">+BP481+BE482</f>
        <v>33166730</v>
      </c>
      <c r="BQ482" s="66"/>
      <c r="BR482" s="435">
        <f t="shared" ref="BR482" si="1458">+BP482/BC482</f>
        <v>6.5229044735254108E-2</v>
      </c>
      <c r="BS482" s="66"/>
      <c r="BT482" s="75"/>
      <c r="BU482" s="170"/>
      <c r="BV482" s="1"/>
      <c r="BW482" s="61">
        <f t="shared" si="1183"/>
        <v>473</v>
      </c>
    </row>
    <row r="483" spans="2:75" x14ac:dyDescent="0.3">
      <c r="B483" s="158">
        <f t="shared" si="432"/>
        <v>44383</v>
      </c>
      <c r="C483" s="61"/>
      <c r="D483" s="17">
        <v>11612</v>
      </c>
      <c r="E483" s="16"/>
      <c r="F483" s="16"/>
      <c r="G483" s="16"/>
      <c r="H483" s="16">
        <f t="shared" ref="H483" si="1459">+H482+D483</f>
        <v>34085320</v>
      </c>
      <c r="I483" s="16"/>
      <c r="J483" s="436">
        <f t="shared" ref="J483" si="1460">+D483/H482</f>
        <v>3.4079061779833294E-4</v>
      </c>
      <c r="K483" s="16"/>
      <c r="L483" s="16"/>
      <c r="M483" s="16"/>
      <c r="N483" s="16">
        <f t="shared" ref="N483" si="1461">SUM(D477:D483)</f>
        <v>80016</v>
      </c>
      <c r="O483" s="16">
        <f t="shared" ref="O483" si="1462">+H483/BW483</f>
        <v>71909.957805907179</v>
      </c>
      <c r="P483" s="41"/>
      <c r="Q483" s="17">
        <f t="shared" ref="Q483" si="1463">SUM(D477:D483)</f>
        <v>80016</v>
      </c>
      <c r="R483" s="16"/>
      <c r="S483" s="60">
        <f t="shared" ref="S483" si="1464">+(Q483-Q476)/Q476</f>
        <v>-2.0168252452150912E-2</v>
      </c>
      <c r="T483" s="16"/>
      <c r="U483" s="41"/>
      <c r="V483" s="10">
        <f t="shared" si="356"/>
        <v>375</v>
      </c>
      <c r="W483" s="34">
        <v>202</v>
      </c>
      <c r="X483" s="33">
        <v>4256</v>
      </c>
      <c r="Y483" s="33"/>
      <c r="Z483" s="33">
        <f t="shared" ref="Z483" si="1465">SUM(W478:W483)</f>
        <v>1026</v>
      </c>
      <c r="AA483" s="33">
        <f t="shared" ref="AA483" si="1466">+AA482+W483</f>
        <v>606421</v>
      </c>
      <c r="AB483" s="33"/>
      <c r="AC483" s="46">
        <f t="shared" ref="AC483" si="1467">+AA483/H483</f>
        <v>1.7791266152114751E-2</v>
      </c>
      <c r="AD483" s="33"/>
      <c r="AE483" s="33">
        <f t="shared" ref="AE483" si="1468">+AA483/BW483</f>
        <v>1279.3691983122362</v>
      </c>
      <c r="AF483" s="50"/>
      <c r="AG483" s="33">
        <f t="shared" ref="AG483" si="1469">SUM(W477:W483)</f>
        <v>1275</v>
      </c>
      <c r="AH483" s="33">
        <f t="shared" ref="AH483" si="1470">SUM(D454:D902)</f>
        <v>1119754778.060914</v>
      </c>
      <c r="AI483" s="213">
        <f t="shared" ref="AI483" si="1471">+(AG483-AG476)/AG476</f>
        <v>-0.29519071310116085</v>
      </c>
      <c r="AJ483" s="50"/>
      <c r="AK483" s="111"/>
      <c r="AL483" s="23">
        <f t="shared" ref="AL483" si="1472">+AP483-AP482</f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ref="AR483" si="1473">+AL483/AP482</f>
        <v>9.7953879764935419E-4</v>
      </c>
      <c r="AS483" s="25"/>
      <c r="AT483" s="25"/>
      <c r="AU483" s="24"/>
      <c r="AV483" s="298">
        <f t="shared" ref="AV483" si="1474">+AP483/H483</f>
        <v>0.85506854563782886</v>
      </c>
      <c r="AW483" s="298"/>
      <c r="AX483" s="24">
        <f t="shared" ref="AX483" si="1475">+AP483/BW483</f>
        <v>61487.943037974685</v>
      </c>
      <c r="AY483" s="308"/>
      <c r="AZ483" s="111"/>
      <c r="BA483" s="65">
        <f t="shared" ref="BA483" si="1476">+BC483-BC482</f>
        <v>750932</v>
      </c>
      <c r="BB483" s="66"/>
      <c r="BC483" s="66">
        <v>509216603</v>
      </c>
      <c r="BD483" s="66"/>
      <c r="BE483" s="66">
        <f t="shared" ref="BE483" si="1477">+D483</f>
        <v>11612</v>
      </c>
      <c r="BF483" s="66"/>
      <c r="BG483" s="144">
        <f t="shared" ref="BG483" si="1478">+BE483/BA483</f>
        <v>1.5463450751865681E-2</v>
      </c>
      <c r="BH483" s="66"/>
      <c r="BI483" s="170"/>
      <c r="BJ483" s="66"/>
      <c r="BK483" s="66">
        <f t="shared" ref="BK483" si="1479">SUM(BA477:BA483)</f>
        <v>3824004</v>
      </c>
      <c r="BL483" s="66"/>
      <c r="BM483" s="144">
        <f t="shared" ref="BM483" si="1480">+Q483/BK483</f>
        <v>2.0924664304744451E-2</v>
      </c>
      <c r="BN483" s="65">
        <f t="shared" ref="BN483" si="1481">+BC483/BW483</f>
        <v>1074296.6308016877</v>
      </c>
      <c r="BO483" s="66"/>
      <c r="BP483" s="66">
        <f t="shared" ref="BP483" si="1482">+BP482+BE483</f>
        <v>33178342</v>
      </c>
      <c r="BQ483" s="66"/>
      <c r="BR483" s="435">
        <f t="shared" ref="BR483" si="1483">+BP483/BC483</f>
        <v>6.5155656364173975E-2</v>
      </c>
      <c r="BS483" s="66"/>
      <c r="BT483" s="75"/>
      <c r="BU483" s="170"/>
      <c r="BV483" s="1"/>
      <c r="BW483" s="61">
        <f t="shared" si="1183"/>
        <v>474</v>
      </c>
    </row>
    <row r="484" spans="2:75" x14ac:dyDescent="0.3">
      <c r="B484" s="158">
        <f t="shared" si="432"/>
        <v>44384</v>
      </c>
      <c r="C484" s="61"/>
      <c r="D484" s="17">
        <v>16812</v>
      </c>
      <c r="E484" s="16"/>
      <c r="F484" s="16"/>
      <c r="G484" s="16"/>
      <c r="H484" s="16">
        <f t="shared" ref="H484" si="1484">+H483+D484</f>
        <v>34102132</v>
      </c>
      <c r="I484" s="16"/>
      <c r="J484" s="436">
        <f t="shared" ref="J484" si="1485">+D484/H483</f>
        <v>4.9323286388392427E-4</v>
      </c>
      <c r="K484" s="16"/>
      <c r="L484" s="16"/>
      <c r="M484" s="16"/>
      <c r="N484" s="16">
        <f t="shared" ref="N484" si="1486">SUM(D478:D484)</f>
        <v>82631</v>
      </c>
      <c r="O484" s="16">
        <f t="shared" ref="O484" si="1487">+H484/BW484</f>
        <v>71793.962105263156</v>
      </c>
      <c r="P484" s="41"/>
      <c r="Q484" s="17">
        <f t="shared" ref="Q484" si="1488">SUM(D478:D484)</f>
        <v>82631</v>
      </c>
      <c r="R484" s="16"/>
      <c r="S484" s="60">
        <f t="shared" ref="S484" si="1489">+(Q484-Q477)/Q477</f>
        <v>1.6485847627128918E-3</v>
      </c>
      <c r="T484" s="16"/>
      <c r="U484" s="41"/>
      <c r="V484" s="10">
        <f t="shared" si="356"/>
        <v>376</v>
      </c>
      <c r="W484" s="34">
        <v>251</v>
      </c>
      <c r="X484" s="33">
        <v>4256</v>
      </c>
      <c r="Y484" s="33"/>
      <c r="Z484" s="33">
        <f t="shared" ref="Z484" si="1490">SUM(W479:W484)</f>
        <v>962</v>
      </c>
      <c r="AA484" s="33">
        <f t="shared" ref="AA484" si="1491">+AA483+W484</f>
        <v>606672</v>
      </c>
      <c r="AB484" s="33"/>
      <c r="AC484" s="46">
        <f t="shared" ref="AC484" si="1492">+AA484/H484</f>
        <v>1.7789855484695208E-2</v>
      </c>
      <c r="AD484" s="33"/>
      <c r="AE484" s="33">
        <f t="shared" ref="AE484" si="1493">+AA484/BW484</f>
        <v>1277.2042105263158</v>
      </c>
      <c r="AF484" s="50"/>
      <c r="AG484" s="33">
        <f t="shared" ref="AG484" si="1494">SUM(W478:W484)</f>
        <v>1277</v>
      </c>
      <c r="AH484" s="33">
        <f t="shared" ref="AH484" si="1495">SUM(D455:D903)</f>
        <v>1119742495.060914</v>
      </c>
      <c r="AI484" s="213">
        <f t="shared" ref="AI484" si="1496">+(AG484-AG477)/AG477</f>
        <v>-0.26142278773857719</v>
      </c>
      <c r="AJ484" s="50"/>
      <c r="AK484" s="111"/>
      <c r="AL484" s="23">
        <f t="shared" ref="AL484" si="1497">+AP484-AP483</f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ref="AR484" si="1498">+AL484/AP483</f>
        <v>7.9011064739974233E-4</v>
      </c>
      <c r="AS484" s="25"/>
      <c r="AT484" s="25"/>
      <c r="AU484" s="24"/>
      <c r="AV484" s="298">
        <f t="shared" ref="AV484" si="1499">+AP484/H484</f>
        <v>0.85532227134655392</v>
      </c>
      <c r="AW484" s="298"/>
      <c r="AX484" s="24">
        <f t="shared" ref="AX484" si="1500">+AP484/BW484</f>
        <v>61406.974736842109</v>
      </c>
      <c r="AY484" s="308"/>
      <c r="AZ484" s="111"/>
      <c r="BA484" s="65">
        <f t="shared" ref="BA484" si="1501">+BC484-BC483</f>
        <v>486270</v>
      </c>
      <c r="BB484" s="66"/>
      <c r="BC484" s="66">
        <v>509702873</v>
      </c>
      <c r="BD484" s="66"/>
      <c r="BE484" s="66">
        <f t="shared" ref="BE484" si="1502">+D484</f>
        <v>16812</v>
      </c>
      <c r="BF484" s="66"/>
      <c r="BG484" s="144">
        <f t="shared" ref="BG484" si="1503">+BE484/BA484</f>
        <v>3.4573385156394597E-2</v>
      </c>
      <c r="BH484" s="66"/>
      <c r="BI484" s="170"/>
      <c r="BJ484" s="66"/>
      <c r="BK484" s="66">
        <f t="shared" ref="BK484" si="1504">SUM(BA478:BA484)</f>
        <v>3543745</v>
      </c>
      <c r="BL484" s="66"/>
      <c r="BM484" s="144">
        <f t="shared" ref="BM484" si="1505">+Q484/BK484</f>
        <v>2.3317422670084895E-2</v>
      </c>
      <c r="BN484" s="65">
        <f t="shared" ref="BN484" si="1506">+BC484/BW484</f>
        <v>1073058.68</v>
      </c>
      <c r="BO484" s="66"/>
      <c r="BP484" s="66">
        <f t="shared" ref="BP484" si="1507">+BP483+BE484</f>
        <v>33195154</v>
      </c>
      <c r="BQ484" s="66"/>
      <c r="BR484" s="435">
        <f t="shared" ref="BR484" si="1508">+BP484/BC484</f>
        <v>6.5126480069889664E-2</v>
      </c>
      <c r="BS484" s="66"/>
      <c r="BT484" s="75"/>
      <c r="BU484" s="170"/>
      <c r="BV484" s="1"/>
      <c r="BW484" s="61">
        <f t="shared" si="1183"/>
        <v>475</v>
      </c>
    </row>
    <row r="485" spans="2:75" x14ac:dyDescent="0.3">
      <c r="B485" s="158">
        <f t="shared" si="432"/>
        <v>44385</v>
      </c>
      <c r="C485" s="61"/>
      <c r="D485" s="17">
        <v>19347</v>
      </c>
      <c r="E485" s="16"/>
      <c r="F485" s="16"/>
      <c r="G485" s="16"/>
      <c r="H485" s="16">
        <f t="shared" ref="H485" si="1509">+H484+D485</f>
        <v>34121479</v>
      </c>
      <c r="I485" s="16"/>
      <c r="J485" s="436">
        <f t="shared" ref="J485" si="1510">+D485/H484</f>
        <v>5.6732523350739477E-4</v>
      </c>
      <c r="K485" s="16"/>
      <c r="L485" s="16"/>
      <c r="M485" s="16"/>
      <c r="N485" s="16">
        <f t="shared" ref="N485" si="1511">SUM(D479:D485)</f>
        <v>85029</v>
      </c>
      <c r="O485" s="16">
        <f t="shared" ref="O485" si="1512">+H485/BW485</f>
        <v>71683.779411764699</v>
      </c>
      <c r="P485" s="41"/>
      <c r="Q485" s="17">
        <f t="shared" ref="Q485" si="1513">SUM(D479:D485)</f>
        <v>85029</v>
      </c>
      <c r="R485" s="16"/>
      <c r="S485" s="60">
        <f t="shared" ref="S485" si="1514">+(Q485-Q478)/Q478</f>
        <v>1.2442846256429796E-2</v>
      </c>
      <c r="T485" s="16"/>
      <c r="U485" s="41"/>
      <c r="V485" s="10">
        <f t="shared" si="356"/>
        <v>377</v>
      </c>
      <c r="W485" s="34">
        <v>261</v>
      </c>
      <c r="X485" s="33">
        <v>4256</v>
      </c>
      <c r="Y485" s="33"/>
      <c r="Z485" s="33">
        <f t="shared" ref="Z485" si="1515">SUM(W480:W485)</f>
        <v>901</v>
      </c>
      <c r="AA485" s="33">
        <f t="shared" ref="AA485" si="1516">+AA484+W485</f>
        <v>606933</v>
      </c>
      <c r="AB485" s="33"/>
      <c r="AC485" s="46">
        <f t="shared" ref="AC485" si="1517">+AA485/H485</f>
        <v>1.7787417714220419E-2</v>
      </c>
      <c r="AD485" s="33"/>
      <c r="AE485" s="33">
        <f t="shared" ref="AE485" si="1518">+AA485/BW485</f>
        <v>1275.0693277310925</v>
      </c>
      <c r="AF485" s="50"/>
      <c r="AG485" s="33">
        <f t="shared" ref="AG485" si="1519">SUM(W479:W485)</f>
        <v>1223</v>
      </c>
      <c r="AH485" s="33">
        <f t="shared" ref="AH485" si="1520">SUM(D456:D904)</f>
        <v>1119728953.060914</v>
      </c>
      <c r="AI485" s="213">
        <f t="shared" ref="AI485" si="1521">+(AG485-AG478)/AG478</f>
        <v>-0.26502403846153844</v>
      </c>
      <c r="AJ485" s="50"/>
      <c r="AK485" s="111"/>
      <c r="AL485" s="23">
        <f t="shared" ref="AL485" si="1522">+AP485-AP484</f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ref="AR485" si="1523">+AL485/AP484</f>
        <v>1.1997608500704171E-3</v>
      </c>
      <c r="AS485" s="25"/>
      <c r="AT485" s="25"/>
      <c r="AU485" s="24"/>
      <c r="AV485" s="298">
        <f t="shared" ref="AV485" si="1524">+AP485/H485</f>
        <v>0.85586290090180439</v>
      </c>
      <c r="AW485" s="298"/>
      <c r="AX485" s="24">
        <f t="shared" ref="AX485" si="1525">+AP485/BW485</f>
        <v>61351.487394957985</v>
      </c>
      <c r="AY485" s="308"/>
      <c r="AZ485" s="111"/>
      <c r="BA485" s="65">
        <f t="shared" ref="BA485" si="1526">+BC485-BC484</f>
        <v>777468</v>
      </c>
      <c r="BB485" s="66"/>
      <c r="BC485" s="66">
        <v>510480341</v>
      </c>
      <c r="BD485" s="66"/>
      <c r="BE485" s="66">
        <f t="shared" ref="BE485" si="1527">+D485</f>
        <v>19347</v>
      </c>
      <c r="BF485" s="66"/>
      <c r="BG485" s="144">
        <f t="shared" ref="BG485" si="1528">+BE485/BA485</f>
        <v>2.4884625476546945E-2</v>
      </c>
      <c r="BH485" s="66"/>
      <c r="BI485" s="170"/>
      <c r="BJ485" s="66"/>
      <c r="BK485" s="66">
        <f t="shared" ref="BK485" si="1529">SUM(BA479:BA485)</f>
        <v>3875729</v>
      </c>
      <c r="BL485" s="66"/>
      <c r="BM485" s="144">
        <f t="shared" ref="BM485" si="1530">+Q485/BK485</f>
        <v>2.193884040912045E-2</v>
      </c>
      <c r="BN485" s="65">
        <f t="shared" ref="BN485" si="1531">+BC485/BW485</f>
        <v>1072437.6911764706</v>
      </c>
      <c r="BO485" s="66"/>
      <c r="BP485" s="66">
        <f t="shared" ref="BP485" si="1532">+BP484+BE485</f>
        <v>33214501</v>
      </c>
      <c r="BQ485" s="66"/>
      <c r="BR485" s="435">
        <f t="shared" ref="BR485" si="1533">+BP485/BC485</f>
        <v>6.5065191217618307E-2</v>
      </c>
      <c r="BS485" s="66"/>
      <c r="BT485" s="75"/>
      <c r="BU485" s="170"/>
      <c r="BV485" s="1"/>
      <c r="BW485" s="61">
        <f t="shared" si="1183"/>
        <v>476</v>
      </c>
    </row>
    <row r="486" spans="2:75" x14ac:dyDescent="0.3">
      <c r="B486" s="158">
        <f t="shared" si="432"/>
        <v>44386</v>
      </c>
      <c r="C486" s="61"/>
      <c r="D486" s="17">
        <v>27237</v>
      </c>
      <c r="E486" s="16"/>
      <c r="F486" s="16"/>
      <c r="G486" s="16"/>
      <c r="H486" s="16">
        <f t="shared" ref="H486" si="1534">+H485+D486</f>
        <v>34148716</v>
      </c>
      <c r="I486" s="16"/>
      <c r="J486" s="436">
        <f t="shared" ref="J486" si="1535">+D486/H485</f>
        <v>7.9823620775641051E-4</v>
      </c>
      <c r="K486" s="16"/>
      <c r="L486" s="16"/>
      <c r="M486" s="16"/>
      <c r="N486" s="16">
        <f t="shared" ref="N486" si="1536">SUM(D480:D486)</f>
        <v>93867</v>
      </c>
      <c r="O486" s="16">
        <f t="shared" ref="O486" si="1537">+H486/BW486</f>
        <v>71590.599580712791</v>
      </c>
      <c r="P486" s="41"/>
      <c r="Q486" s="17">
        <f t="shared" ref="Q486" si="1538">SUM(D480:D486)</f>
        <v>93867</v>
      </c>
      <c r="R486" s="16"/>
      <c r="S486" s="60">
        <f t="shared" ref="S486" si="1539">+(Q486-Q479)/Q479</f>
        <v>8.0844253045620984E-2</v>
      </c>
      <c r="T486" s="16"/>
      <c r="U486" s="41"/>
      <c r="V486" s="10">
        <f t="shared" si="356"/>
        <v>378</v>
      </c>
      <c r="W486" s="34">
        <v>366</v>
      </c>
      <c r="X486" s="33">
        <v>4256</v>
      </c>
      <c r="Y486" s="33"/>
      <c r="Z486" s="33">
        <f t="shared" ref="Z486" si="1540">SUM(W481:W486)</f>
        <v>1171</v>
      </c>
      <c r="AA486" s="33">
        <f t="shared" ref="AA486" si="1541">+AA485+W486</f>
        <v>607299</v>
      </c>
      <c r="AB486" s="33"/>
      <c r="AC486" s="46">
        <f t="shared" ref="AC486" si="1542">+AA486/H486</f>
        <v>1.7783948304234923E-2</v>
      </c>
      <c r="AD486" s="33"/>
      <c r="AE486" s="33">
        <f t="shared" ref="AE486" si="1543">+AA486/BW486</f>
        <v>1273.1635220125786</v>
      </c>
      <c r="AF486" s="50"/>
      <c r="AG486" s="33">
        <f t="shared" ref="AG486" si="1544">SUM(W480:W486)</f>
        <v>1267</v>
      </c>
      <c r="AH486" s="33">
        <f t="shared" ref="AH486" si="1545">SUM(D457:D905)</f>
        <v>1119714752.060914</v>
      </c>
      <c r="AI486" s="213">
        <f t="shared" ref="AI486" si="1546">+(AG486-AG479)/AG479</f>
        <v>-0.20762976860537835</v>
      </c>
      <c r="AJ486" s="50"/>
      <c r="AK486" s="111"/>
      <c r="AL486" s="23">
        <f t="shared" ref="AL486" si="1547">+AP486-AP485</f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ref="AR486" si="1548">+AL486/AP485</f>
        <v>6.7334837546486172E-4</v>
      </c>
      <c r="AS486" s="25"/>
      <c r="AT486" s="25"/>
      <c r="AU486" s="24"/>
      <c r="AV486" s="298">
        <f t="shared" ref="AV486" si="1549">+AP486/H486</f>
        <v>0.8557560992922838</v>
      </c>
      <c r="AW486" s="298"/>
      <c r="AX486" s="24">
        <f t="shared" ref="AX486" si="1550">+AP486/BW486</f>
        <v>61264.092243186584</v>
      </c>
      <c r="AY486" s="308"/>
      <c r="AZ486" s="111"/>
      <c r="BA486" s="65">
        <f t="shared" ref="BA486" si="1551">+BC486-BC485</f>
        <v>947663</v>
      </c>
      <c r="BB486" s="66"/>
      <c r="BC486" s="66">
        <v>511428004</v>
      </c>
      <c r="BD486" s="66"/>
      <c r="BE486" s="66">
        <f t="shared" ref="BE486" si="1552">+D486</f>
        <v>27237</v>
      </c>
      <c r="BF486" s="66"/>
      <c r="BG486" s="144">
        <f t="shared" ref="BG486" si="1553">+BE486/BA486</f>
        <v>2.8741229740952216E-2</v>
      </c>
      <c r="BH486" s="66"/>
      <c r="BI486" s="170"/>
      <c r="BJ486" s="66"/>
      <c r="BK486" s="66">
        <f t="shared" ref="BK486" si="1554">SUM(BA480:BA486)</f>
        <v>4081419</v>
      </c>
      <c r="BL486" s="66"/>
      <c r="BM486" s="144">
        <f t="shared" ref="BM486" si="1555">+Q486/BK486</f>
        <v>2.2998618862704368E-2</v>
      </c>
      <c r="BN486" s="65">
        <f t="shared" ref="BN486" si="1556">+BC486/BW486</f>
        <v>1072176.109014675</v>
      </c>
      <c r="BO486" s="66"/>
      <c r="BP486" s="66">
        <f t="shared" ref="BP486" si="1557">+BP485+BE486</f>
        <v>33241738</v>
      </c>
      <c r="BQ486" s="66"/>
      <c r="BR486" s="435">
        <f t="shared" ref="BR486" si="1558">+BP486/BC486</f>
        <v>6.4997883846814139E-2</v>
      </c>
      <c r="BS486" s="66"/>
      <c r="BT486" s="75"/>
      <c r="BU486" s="170"/>
      <c r="BV486" s="1"/>
      <c r="BW486" s="61">
        <f t="shared" si="1183"/>
        <v>477</v>
      </c>
    </row>
    <row r="487" spans="2:75" x14ac:dyDescent="0.3">
      <c r="B487" s="158">
        <f t="shared" si="432"/>
        <v>44387</v>
      </c>
      <c r="C487" s="61"/>
      <c r="D487" s="17">
        <v>14535</v>
      </c>
      <c r="E487" s="16"/>
      <c r="F487" s="16"/>
      <c r="G487" s="16"/>
      <c r="H487" s="16">
        <f t="shared" ref="H487" si="1559">+H486+D487</f>
        <v>34163251</v>
      </c>
      <c r="I487" s="16"/>
      <c r="J487" s="436">
        <f t="shared" ref="J487" si="1560">+D487/H486</f>
        <v>4.2563825825837784E-4</v>
      </c>
      <c r="K487" s="16"/>
      <c r="L487" s="16"/>
      <c r="M487" s="16"/>
      <c r="N487" s="16">
        <f t="shared" ref="N487" si="1561">SUM(D481:D487)</f>
        <v>100424</v>
      </c>
      <c r="O487" s="16">
        <f t="shared" ref="O487" si="1562">+H487/BW487</f>
        <v>71471.236401673639</v>
      </c>
      <c r="P487" s="41"/>
      <c r="Q487" s="17">
        <f t="shared" ref="Q487" si="1563">SUM(D481:D487)</f>
        <v>100424</v>
      </c>
      <c r="R487" s="16"/>
      <c r="S487" s="60">
        <f t="shared" ref="S487" si="1564">+(Q487-Q480)/Q480</f>
        <v>0.13810376481787892</v>
      </c>
      <c r="T487" s="16"/>
      <c r="U487" s="41"/>
      <c r="V487" s="10">
        <f t="shared" si="356"/>
        <v>379</v>
      </c>
      <c r="W487" s="34">
        <v>118</v>
      </c>
      <c r="X487" s="33">
        <v>4256</v>
      </c>
      <c r="Y487" s="33"/>
      <c r="Z487" s="33">
        <f t="shared" ref="Z487" si="1565">SUM(W482:W487)</f>
        <v>1234</v>
      </c>
      <c r="AA487" s="33">
        <f t="shared" ref="AA487" si="1566">+AA486+W487</f>
        <v>607417</v>
      </c>
      <c r="AB487" s="33"/>
      <c r="AC487" s="46">
        <f t="shared" ref="AC487" si="1567">+AA487/H487</f>
        <v>1.7779835999799903E-2</v>
      </c>
      <c r="AD487" s="33"/>
      <c r="AE487" s="33">
        <f t="shared" ref="AE487" si="1568">+AA487/BW487</f>
        <v>1270.7468619246863</v>
      </c>
      <c r="AF487" s="50"/>
      <c r="AG487" s="33">
        <f t="shared" ref="AG487" si="1569">SUM(W481:W487)</f>
        <v>1289</v>
      </c>
      <c r="AH487" s="33">
        <f t="shared" ref="AH487" si="1570">SUM(D458:D906)</f>
        <v>1119697988.060914</v>
      </c>
      <c r="AI487" s="213">
        <f t="shared" ref="AI487" si="1571">+(AG487-AG480)/AG480</f>
        <v>-0.16623544631306597</v>
      </c>
      <c r="AJ487" s="50"/>
      <c r="AK487" s="111"/>
      <c r="AL487" s="23">
        <f t="shared" ref="AL487" si="1572">+AP487-AP486</f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ref="AR487" si="1573">+AL487/AP486</f>
        <v>4.091986263409485E-4</v>
      </c>
      <c r="AS487" s="25"/>
      <c r="AT487" s="25"/>
      <c r="AU487" s="24"/>
      <c r="AV487" s="298">
        <f t="shared" ref="AV487" si="1574">+AP487/H487</f>
        <v>0.85574203696246587</v>
      </c>
      <c r="AW487" s="298"/>
      <c r="AX487" s="24">
        <f t="shared" ref="AX487" si="1575">+AP487/BW487</f>
        <v>61160.941422594144</v>
      </c>
      <c r="AY487" s="308"/>
      <c r="AZ487" s="111"/>
      <c r="BA487" s="65">
        <f t="shared" ref="BA487" si="1576">+BC487-BC486</f>
        <v>242661</v>
      </c>
      <c r="BB487" s="66"/>
      <c r="BC487" s="66">
        <v>511670665</v>
      </c>
      <c r="BD487" s="66"/>
      <c r="BE487" s="66">
        <f t="shared" ref="BE487" si="1577">+D487</f>
        <v>14535</v>
      </c>
      <c r="BF487" s="66"/>
      <c r="BG487" s="144">
        <f t="shared" ref="BG487" si="1578">+BE487/BA487</f>
        <v>5.9898376747808672E-2</v>
      </c>
      <c r="BH487" s="66"/>
      <c r="BI487" s="170"/>
      <c r="BJ487" s="66"/>
      <c r="BK487" s="66">
        <f t="shared" ref="BK487" si="1579">SUM(BA481:BA487)</f>
        <v>4068789</v>
      </c>
      <c r="BL487" s="66"/>
      <c r="BM487" s="144">
        <f t="shared" ref="BM487" si="1580">+Q487/BK487</f>
        <v>2.4681545295172594E-2</v>
      </c>
      <c r="BN487" s="65">
        <f t="shared" ref="BN487" si="1581">+BC487/BW487</f>
        <v>1070440.7217573221</v>
      </c>
      <c r="BO487" s="66"/>
      <c r="BP487" s="66">
        <f t="shared" ref="BP487" si="1582">+BP486+BE487</f>
        <v>33256273</v>
      </c>
      <c r="BQ487" s="66"/>
      <c r="BR487" s="435">
        <f t="shared" ref="BR487" si="1583">+BP487/BC487</f>
        <v>6.4995465393741111E-2</v>
      </c>
      <c r="BS487" s="66"/>
      <c r="BT487" s="75"/>
      <c r="BU487" s="170"/>
      <c r="BV487" s="1"/>
      <c r="BW487" s="61">
        <f t="shared" si="1183"/>
        <v>478</v>
      </c>
    </row>
    <row r="488" spans="2:75" x14ac:dyDescent="0.3">
      <c r="B488" s="347">
        <f t="shared" si="432"/>
        <v>44388</v>
      </c>
      <c r="C488" s="61"/>
      <c r="D488" s="17">
        <v>6642</v>
      </c>
      <c r="E488" s="16"/>
      <c r="F488" s="16"/>
      <c r="G488" s="16"/>
      <c r="H488" s="16">
        <f t="shared" ref="H488" si="1584">+H487+D488</f>
        <v>34169893</v>
      </c>
      <c r="I488" s="16"/>
      <c r="J488" s="436">
        <f t="shared" ref="J488" si="1585">+D488/H487</f>
        <v>1.9441943625330037E-4</v>
      </c>
      <c r="K488" s="16"/>
      <c r="L488" s="16"/>
      <c r="M488" s="16"/>
      <c r="N488" s="16">
        <f t="shared" ref="N488" si="1586">SUM(D482:D488)</f>
        <v>101317</v>
      </c>
      <c r="O488" s="16">
        <f t="shared" ref="O488" si="1587">+H488/BW488</f>
        <v>71335.893528183718</v>
      </c>
      <c r="P488" s="41"/>
      <c r="Q488" s="17">
        <f t="shared" ref="Q488" si="1588">SUM(D482:D488)</f>
        <v>101317</v>
      </c>
      <c r="R488" s="16"/>
      <c r="S488" s="60">
        <f t="shared" ref="S488" si="1589">+(Q488-Q481)/Q481</f>
        <v>0.16884899805032244</v>
      </c>
      <c r="T488" s="16"/>
      <c r="U488" s="41"/>
      <c r="V488" s="10">
        <f t="shared" si="356"/>
        <v>380</v>
      </c>
      <c r="W488" s="34">
        <v>27</v>
      </c>
      <c r="X488" s="33">
        <v>4256</v>
      </c>
      <c r="Y488" s="33"/>
      <c r="Z488" s="33">
        <f t="shared" ref="Z488" si="1590">SUM(W483:W488)</f>
        <v>1225</v>
      </c>
      <c r="AA488" s="33">
        <f t="shared" ref="AA488" si="1591">+AA487+W488</f>
        <v>607444</v>
      </c>
      <c r="AB488" s="33"/>
      <c r="AC488" s="46">
        <f t="shared" ref="AC488" si="1592">+AA488/H488</f>
        <v>1.777717009532339E-2</v>
      </c>
      <c r="AD488" s="33"/>
      <c r="AE488" s="33">
        <f t="shared" ref="AE488" si="1593">+AA488/BW488</f>
        <v>1268.1503131524009</v>
      </c>
      <c r="AF488" s="50"/>
      <c r="AG488" s="33">
        <f t="shared" ref="AG488" si="1594">SUM(W482:W488)</f>
        <v>1261</v>
      </c>
      <c r="AH488" s="33">
        <f t="shared" ref="AH488" si="1595">SUM(D459:D907)</f>
        <v>1119681843.060914</v>
      </c>
      <c r="AI488" s="213">
        <f t="shared" ref="AI488" si="1596">+(AG488-AG481)/AG481</f>
        <v>-0.15652173913043479</v>
      </c>
      <c r="AJ488" s="50"/>
      <c r="AK488" s="111"/>
      <c r="AL488" s="23">
        <f t="shared" ref="AL488" si="1597">+AP488-AP487</f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ref="AR488" si="1598">+AL488/AP487</f>
        <v>3.1376849542653256E-4</v>
      </c>
      <c r="AS488" s="25"/>
      <c r="AT488" s="25"/>
      <c r="AU488" s="24"/>
      <c r="AV488" s="298">
        <f t="shared" ref="AV488" si="1599">+AP488/H488</f>
        <v>0.85584414911688489</v>
      </c>
      <c r="AW488" s="298"/>
      <c r="AX488" s="24">
        <f t="shared" ref="AX488" si="1600">+AP488/BW488</f>
        <v>61052.407098121083</v>
      </c>
      <c r="AY488" s="308"/>
      <c r="AZ488" s="111"/>
      <c r="BA488" s="65">
        <f t="shared" ref="BA488" si="1601">+BC488-BC487</f>
        <v>134862</v>
      </c>
      <c r="BB488" s="66"/>
      <c r="BC488" s="66">
        <v>511805527</v>
      </c>
      <c r="BD488" s="66"/>
      <c r="BE488" s="66">
        <f t="shared" ref="BE488" si="1602">+D488</f>
        <v>6642</v>
      </c>
      <c r="BF488" s="66"/>
      <c r="BG488" s="144">
        <f t="shared" ref="BG488" si="1603">+BE488/BA488</f>
        <v>4.9250344796903503E-2</v>
      </c>
      <c r="BH488" s="66"/>
      <c r="BI488" s="170"/>
      <c r="BJ488" s="66"/>
      <c r="BK488" s="66">
        <f t="shared" ref="BK488" si="1604">SUM(BA482:BA488)</f>
        <v>3720515</v>
      </c>
      <c r="BL488" s="66"/>
      <c r="BM488" s="144">
        <f t="shared" ref="BM488" si="1605">+Q488/BK488</f>
        <v>2.7231982669065975E-2</v>
      </c>
      <c r="BN488" s="65">
        <f t="shared" ref="BN488" si="1606">+BC488/BW488</f>
        <v>1068487.5302713988</v>
      </c>
      <c r="BO488" s="66"/>
      <c r="BP488" s="66">
        <f t="shared" ref="BP488" si="1607">+BP487+BE488</f>
        <v>33262915</v>
      </c>
      <c r="BQ488" s="66"/>
      <c r="BR488" s="435">
        <f t="shared" ref="BR488" si="1608">+BP488/BC488</f>
        <v>6.4991316516204795E-2</v>
      </c>
      <c r="BS488" s="66"/>
      <c r="BT488" s="75"/>
      <c r="BU488" s="170"/>
      <c r="BV488" s="1"/>
      <c r="BW488" s="61">
        <f t="shared" si="1183"/>
        <v>479</v>
      </c>
    </row>
    <row r="489" spans="2:75" x14ac:dyDescent="0.3">
      <c r="B489" s="158">
        <f t="shared" si="432"/>
        <v>44389</v>
      </c>
      <c r="C489" s="61"/>
      <c r="D489" s="17">
        <v>19996</v>
      </c>
      <c r="E489" s="16"/>
      <c r="F489" s="16"/>
      <c r="G489" s="16"/>
      <c r="H489" s="16">
        <f t="shared" ref="H489" si="1609">+H488+D489</f>
        <v>34189889</v>
      </c>
      <c r="I489" s="16"/>
      <c r="J489" s="436">
        <f t="shared" ref="J489" si="1610">+D489/H488</f>
        <v>5.8519352109179853E-4</v>
      </c>
      <c r="K489" s="16"/>
      <c r="L489" s="16"/>
      <c r="M489" s="16"/>
      <c r="N489" s="16">
        <f t="shared" ref="N489" si="1611">SUM(D483:D489)</f>
        <v>116181</v>
      </c>
      <c r="O489" s="16">
        <f t="shared" ref="O489" si="1612">+H489/BW489</f>
        <v>71228.93541666666</v>
      </c>
      <c r="P489" s="41"/>
      <c r="Q489" s="17">
        <f t="shared" ref="Q489" si="1613">SUM(D483:D489)</f>
        <v>116181</v>
      </c>
      <c r="R489" s="16"/>
      <c r="S489" s="60">
        <f t="shared" ref="S489" si="1614">+(Q489-Q482)/Q482</f>
        <v>0.45533689919955905</v>
      </c>
      <c r="T489" s="16"/>
      <c r="U489" s="41"/>
      <c r="V489" s="10">
        <f t="shared" si="356"/>
        <v>381</v>
      </c>
      <c r="W489" s="34">
        <v>163</v>
      </c>
      <c r="X489" s="33">
        <v>4256</v>
      </c>
      <c r="Y489" s="33"/>
      <c r="Z489" s="33">
        <f t="shared" ref="Z489" si="1615">SUM(W484:W489)</f>
        <v>1186</v>
      </c>
      <c r="AA489" s="33">
        <f t="shared" ref="AA489" si="1616">+AA488+W489</f>
        <v>607607</v>
      </c>
      <c r="AB489" s="33"/>
      <c r="AC489" s="46">
        <f t="shared" ref="AC489" si="1617">+AA489/H489</f>
        <v>1.7771540586165695E-2</v>
      </c>
      <c r="AD489" s="33"/>
      <c r="AE489" s="33">
        <f t="shared" ref="AE489" si="1618">+AA489/BW489</f>
        <v>1265.8479166666666</v>
      </c>
      <c r="AF489" s="50"/>
      <c r="AG489" s="33">
        <f t="shared" ref="AG489" si="1619">SUM(W483:W489)</f>
        <v>1388</v>
      </c>
      <c r="AH489" s="33">
        <f t="shared" ref="AH489" si="1620">SUM(D460:D908)</f>
        <v>1119672416.060914</v>
      </c>
      <c r="AI489" s="213">
        <f t="shared" ref="AI489" si="1621">+(AG489-AG482)/AG482</f>
        <v>1.5362106803218726E-2</v>
      </c>
      <c r="AJ489" s="50"/>
      <c r="AK489" s="111"/>
      <c r="AL489" s="23">
        <f t="shared" ref="AL489" si="1622">+AP489-AP488</f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ref="AR489" si="1623">+AL489/AP488</f>
        <v>1.2838143813130463E-3</v>
      </c>
      <c r="AS489" s="25"/>
      <c r="AT489" s="25"/>
      <c r="AU489" s="24"/>
      <c r="AV489" s="298">
        <f t="shared" ref="AV489" si="1624">+AP489/H489</f>
        <v>0.85644171000379676</v>
      </c>
      <c r="AW489" s="298"/>
      <c r="AX489" s="24">
        <f t="shared" ref="AX489" si="1625">+AP489/BW489</f>
        <v>61003.431250000001</v>
      </c>
      <c r="AY489" s="308"/>
      <c r="AZ489" s="111"/>
      <c r="BA489" s="65">
        <f t="shared" ref="BA489" si="1626">+BC489-BC488</f>
        <v>1358363</v>
      </c>
      <c r="BB489" s="66"/>
      <c r="BC489" s="66">
        <v>513163890</v>
      </c>
      <c r="BD489" s="66"/>
      <c r="BE489" s="66">
        <f t="shared" ref="BE489" si="1627">+D489</f>
        <v>19996</v>
      </c>
      <c r="BF489" s="66"/>
      <c r="BG489" s="144">
        <f t="shared" ref="BG489" si="1628">+BE489/BA489</f>
        <v>1.4720660088650825E-2</v>
      </c>
      <c r="BH489" s="66"/>
      <c r="BI489" s="170"/>
      <c r="BJ489" s="66"/>
      <c r="BK489" s="66">
        <f t="shared" ref="BK489" si="1629">SUM(BA483:BA489)</f>
        <v>4698219</v>
      </c>
      <c r="BL489" s="66"/>
      <c r="BM489" s="144">
        <f t="shared" ref="BM489" si="1630">+Q489/BK489</f>
        <v>2.4728732313244656E-2</v>
      </c>
      <c r="BN489" s="65">
        <f t="shared" ref="BN489" si="1631">+BC489/BW489</f>
        <v>1069091.4375</v>
      </c>
      <c r="BO489" s="66"/>
      <c r="BP489" s="66">
        <f t="shared" ref="BP489" si="1632">+BP488+BE489</f>
        <v>33282911</v>
      </c>
      <c r="BQ489" s="66"/>
      <c r="BR489" s="435">
        <f t="shared" ref="BR489" si="1633">+BP489/BC489</f>
        <v>6.4858248307377978E-2</v>
      </c>
      <c r="BS489" s="66"/>
      <c r="BT489" s="75"/>
      <c r="BU489" s="170"/>
      <c r="BV489" s="1"/>
      <c r="BW489" s="61">
        <f t="shared" si="1183"/>
        <v>480</v>
      </c>
    </row>
    <row r="490" spans="2:75" x14ac:dyDescent="0.3">
      <c r="B490" s="158">
        <f t="shared" si="432"/>
        <v>44390</v>
      </c>
      <c r="C490" s="61"/>
      <c r="D490" s="17">
        <v>39754</v>
      </c>
      <c r="E490" s="16"/>
      <c r="F490" s="16"/>
      <c r="G490" s="16"/>
      <c r="H490" s="16">
        <f t="shared" ref="H490" si="1634">+H489+D490</f>
        <v>34229643</v>
      </c>
      <c r="I490" s="16"/>
      <c r="J490" s="436">
        <f t="shared" ref="J490" si="1635">+D490/H489</f>
        <v>1.1627414174991912E-3</v>
      </c>
      <c r="K490" s="16"/>
      <c r="L490" s="16"/>
      <c r="M490" s="16"/>
      <c r="N490" s="16">
        <f t="shared" ref="N490" si="1636">SUM(D484:D490)</f>
        <v>144323</v>
      </c>
      <c r="O490" s="16">
        <f t="shared" ref="O490" si="1637">+H490/BW490</f>
        <v>71163.498960498953</v>
      </c>
      <c r="P490" s="41"/>
      <c r="Q490" s="17">
        <f t="shared" ref="Q490" si="1638">SUM(D484:D490)</f>
        <v>144323</v>
      </c>
      <c r="R490" s="16"/>
      <c r="S490" s="60">
        <f t="shared" ref="S490" si="1639">+(Q490-Q483)/Q483</f>
        <v>0.80367676464707061</v>
      </c>
      <c r="T490" s="16"/>
      <c r="U490" s="41"/>
      <c r="V490" s="10">
        <f t="shared" si="356"/>
        <v>382</v>
      </c>
      <c r="W490" s="34">
        <v>171</v>
      </c>
      <c r="X490" s="33">
        <v>4256</v>
      </c>
      <c r="Y490" s="33"/>
      <c r="Z490" s="33">
        <f t="shared" ref="Z490" si="1640">SUM(W485:W490)</f>
        <v>1106</v>
      </c>
      <c r="AA490" s="33">
        <f t="shared" ref="AA490" si="1641">+AA489+W490</f>
        <v>607778</v>
      </c>
      <c r="AB490" s="33"/>
      <c r="AC490" s="46">
        <f t="shared" ref="AC490" si="1642">+AA490/H490</f>
        <v>1.7755896548497452E-2</v>
      </c>
      <c r="AD490" s="33"/>
      <c r="AE490" s="33">
        <f t="shared" ref="AE490" si="1643">+AA490/BW490</f>
        <v>1263.5717255717257</v>
      </c>
      <c r="AF490" s="50"/>
      <c r="AG490" s="33">
        <f t="shared" ref="AG490" si="1644">SUM(W484:W490)</f>
        <v>1357</v>
      </c>
      <c r="AH490" s="33">
        <f t="shared" ref="AH490" si="1645">SUM(D461:D909)</f>
        <v>1119667131.060914</v>
      </c>
      <c r="AI490" s="213">
        <f t="shared" ref="AI490" si="1646">+(AG490-AG483)/AG483</f>
        <v>6.431372549019608E-2</v>
      </c>
      <c r="AJ490" s="50"/>
      <c r="AK490" s="111" t="s">
        <v>26</v>
      </c>
      <c r="AL490" s="23">
        <f t="shared" ref="AL490" si="1647">+AP490-AP489</f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ref="AR490" si="1648">+AL490/AP489</f>
        <v>6.2677485320412473E-4</v>
      </c>
      <c r="AS490" s="25"/>
      <c r="AT490" s="25"/>
      <c r="AU490" s="24"/>
      <c r="AV490" s="298">
        <f t="shared" ref="AV490" si="1649">+AP490/H490</f>
        <v>0.85598321898945895</v>
      </c>
      <c r="AW490" s="298"/>
      <c r="AX490" s="24">
        <f t="shared" ref="AX490" si="1650">+AP490/BW490</f>
        <v>60914.760914760918</v>
      </c>
      <c r="AY490" s="308"/>
      <c r="AZ490" s="111" t="s">
        <v>26</v>
      </c>
      <c r="BA490" s="65">
        <f t="shared" ref="BA490" si="1651">+BC490-BC489</f>
        <v>536110</v>
      </c>
      <c r="BB490" s="66"/>
      <c r="BC490" s="66">
        <v>513700000</v>
      </c>
      <c r="BD490" s="66"/>
      <c r="BE490" s="66">
        <f t="shared" ref="BE490" si="1652">+D490</f>
        <v>39754</v>
      </c>
      <c r="BF490" s="66"/>
      <c r="BG490" s="144">
        <f t="shared" ref="BG490" si="1653">+BE490/BA490</f>
        <v>7.4152692544440513E-2</v>
      </c>
      <c r="BH490" s="66"/>
      <c r="BI490" s="170"/>
      <c r="BJ490" s="66"/>
      <c r="BK490" s="66">
        <f t="shared" ref="BK490" si="1654">SUM(BA484:BA490)</f>
        <v>4483397</v>
      </c>
      <c r="BL490" s="66"/>
      <c r="BM490" s="144">
        <f t="shared" ref="BM490" si="1655">+Q490/BK490</f>
        <v>3.2190546587777077E-2</v>
      </c>
      <c r="BN490" s="65">
        <f t="shared" ref="BN490" si="1656">+BC490/BW490</f>
        <v>1067983.367983368</v>
      </c>
      <c r="BO490" s="66"/>
      <c r="BP490" s="66">
        <f t="shared" ref="BP490" si="1657">+BP489+BE490</f>
        <v>33322665</v>
      </c>
      <c r="BQ490" s="66"/>
      <c r="BR490" s="435">
        <f t="shared" ref="BR490" si="1658">+BP490/BC490</f>
        <v>6.4867948218804747E-2</v>
      </c>
      <c r="BS490" s="66"/>
      <c r="BT490" s="75"/>
      <c r="BU490" s="170"/>
      <c r="BV490" s="1"/>
      <c r="BW490" s="61">
        <f t="shared" si="1183"/>
        <v>481</v>
      </c>
    </row>
    <row r="491" spans="2:75" x14ac:dyDescent="0.3">
      <c r="B491" s="158">
        <f t="shared" si="432"/>
        <v>44391</v>
      </c>
      <c r="C491" s="61"/>
      <c r="D491" s="17">
        <v>35447</v>
      </c>
      <c r="E491" s="16"/>
      <c r="F491" s="16"/>
      <c r="G491" s="16"/>
      <c r="H491" s="16">
        <f t="shared" ref="H491" si="1659">+H490+D491</f>
        <v>34265090</v>
      </c>
      <c r="I491" s="16"/>
      <c r="J491" s="436">
        <f t="shared" ref="J491" si="1660">+D491/H490</f>
        <v>1.0355644083112406E-3</v>
      </c>
      <c r="K491" s="16"/>
      <c r="L491" s="16"/>
      <c r="M491" s="16"/>
      <c r="N491" s="16">
        <f t="shared" ref="N491" si="1661">SUM(D485:D491)</f>
        <v>162958</v>
      </c>
      <c r="O491" s="16">
        <f t="shared" ref="O491" si="1662">+H491/BW491</f>
        <v>71089.398340248968</v>
      </c>
      <c r="P491" s="41"/>
      <c r="Q491" s="17">
        <f t="shared" ref="Q491" si="1663">SUM(D485:D491)</f>
        <v>162958</v>
      </c>
      <c r="R491" s="16"/>
      <c r="S491" s="60">
        <f t="shared" ref="S491" si="1664">+(Q491-Q484)/Q484</f>
        <v>0.97211700209364527</v>
      </c>
      <c r="T491" s="16"/>
      <c r="U491" s="41"/>
      <c r="V491" s="10">
        <f t="shared" si="356"/>
        <v>383</v>
      </c>
      <c r="W491" s="34">
        <v>347</v>
      </c>
      <c r="X491" s="33">
        <v>4256</v>
      </c>
      <c r="Y491" s="33"/>
      <c r="Z491" s="33">
        <f t="shared" ref="Z491" si="1665">SUM(W486:W491)</f>
        <v>1192</v>
      </c>
      <c r="AA491" s="33">
        <f t="shared" ref="AA491" si="1666">+AA490+W491</f>
        <v>608125</v>
      </c>
      <c r="AB491" s="33"/>
      <c r="AC491" s="46">
        <f t="shared" ref="AC491" si="1667">+AA491/H491</f>
        <v>1.7747655120707403E-2</v>
      </c>
      <c r="AD491" s="33"/>
      <c r="AE491" s="33">
        <f t="shared" ref="AE491" si="1668">+AA491/BW491</f>
        <v>1261.6701244813278</v>
      </c>
      <c r="AF491" s="50"/>
      <c r="AG491" s="33">
        <f t="shared" ref="AG491" si="1669">SUM(W485:W491)</f>
        <v>1453</v>
      </c>
      <c r="AH491" s="33">
        <f t="shared" ref="AH491" si="1670">SUM(D462:D910)</f>
        <v>1119655610.060914</v>
      </c>
      <c r="AI491" s="213">
        <f t="shared" ref="AI491" si="1671">+(AG491-AG484)/AG484</f>
        <v>0.13782302270947533</v>
      </c>
      <c r="AJ491" s="50"/>
      <c r="AK491" s="111"/>
      <c r="AL491" s="23">
        <f t="shared" ref="AL491" si="1672">+AP491-AP490</f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ref="AR491" si="1673">+AL491/AP490</f>
        <v>8.2935153583617749E-4</v>
      </c>
      <c r="AS491" s="25"/>
      <c r="AT491" s="25"/>
      <c r="AU491" s="24"/>
      <c r="AV491" s="298">
        <f t="shared" ref="AV491" si="1674">+AP491/H491</f>
        <v>0.85580688683438455</v>
      </c>
      <c r="AW491" s="298"/>
      <c r="AX491" s="24">
        <f t="shared" ref="AX491" si="1675">+AP491/BW491</f>
        <v>60838.796680497922</v>
      </c>
      <c r="AY491" s="308"/>
      <c r="AZ491" s="111"/>
      <c r="BA491" s="65">
        <f t="shared" ref="BA491" si="1676">+BC491-BC490</f>
        <v>874420</v>
      </c>
      <c r="BB491" s="66"/>
      <c r="BC491" s="66">
        <v>514574420</v>
      </c>
      <c r="BD491" s="66"/>
      <c r="BE491" s="66">
        <f t="shared" ref="BE491" si="1677">+D491</f>
        <v>35447</v>
      </c>
      <c r="BF491" s="66"/>
      <c r="BG491" s="144">
        <f t="shared" ref="BG491" si="1678">+BE491/BA491</f>
        <v>4.0537727865327874E-2</v>
      </c>
      <c r="BH491" s="66"/>
      <c r="BI491" s="170"/>
      <c r="BJ491" s="66"/>
      <c r="BK491" s="66">
        <f t="shared" ref="BK491" si="1679">SUM(BA485:BA491)</f>
        <v>4871547</v>
      </c>
      <c r="BL491" s="66"/>
      <c r="BM491" s="144">
        <f t="shared" ref="BM491" si="1680">+Q491/BK491</f>
        <v>3.3450975634639266E-2</v>
      </c>
      <c r="BN491" s="65">
        <f t="shared" ref="BN491" si="1681">+BC491/BW491</f>
        <v>1067581.7842323652</v>
      </c>
      <c r="BO491" s="66"/>
      <c r="BP491" s="66">
        <f t="shared" ref="BP491" si="1682">+BP490+BE491</f>
        <v>33358112</v>
      </c>
      <c r="BQ491" s="66"/>
      <c r="BR491" s="435">
        <f t="shared" ref="BR491" si="1683">+BP491/BC491</f>
        <v>6.4826603700976815E-2</v>
      </c>
      <c r="BS491" s="66"/>
      <c r="BT491" s="75"/>
      <c r="BU491" s="170"/>
      <c r="BV491" s="1"/>
      <c r="BW491" s="61">
        <f t="shared" si="1183"/>
        <v>482</v>
      </c>
    </row>
    <row r="492" spans="2:75" x14ac:dyDescent="0.3">
      <c r="B492" s="158">
        <f t="shared" si="432"/>
        <v>44392</v>
      </c>
      <c r="C492" s="61"/>
      <c r="D492" s="17">
        <v>36674</v>
      </c>
      <c r="E492" s="16"/>
      <c r="F492" s="16"/>
      <c r="G492" s="16"/>
      <c r="H492" s="16">
        <f t="shared" ref="H492" si="1684">+H491+D492</f>
        <v>34301764</v>
      </c>
      <c r="I492" s="16"/>
      <c r="J492" s="436">
        <f t="shared" ref="J492" si="1685">+D492/H491</f>
        <v>1.0703021646813126E-3</v>
      </c>
      <c r="K492" s="16"/>
      <c r="L492" s="16"/>
      <c r="M492" s="16"/>
      <c r="N492" s="16">
        <f t="shared" ref="N492" si="1686">SUM(D486:D492)</f>
        <v>180285</v>
      </c>
      <c r="O492" s="16">
        <f t="shared" ref="O492" si="1687">+H492/BW492</f>
        <v>71018.144927536225</v>
      </c>
      <c r="P492" s="41"/>
      <c r="Q492" s="17">
        <f t="shared" ref="Q492" si="1688">SUM(D486:D492)</f>
        <v>180285</v>
      </c>
      <c r="R492" s="16"/>
      <c r="S492" s="60">
        <f t="shared" ref="S492" si="1689">+(Q492-Q485)/Q485</f>
        <v>1.1202766115090146</v>
      </c>
      <c r="T492" s="16"/>
      <c r="U492" s="41"/>
      <c r="V492" s="10">
        <f t="shared" si="356"/>
        <v>384</v>
      </c>
      <c r="W492" s="34">
        <v>344</v>
      </c>
      <c r="X492" s="33">
        <v>4256</v>
      </c>
      <c r="Y492" s="33"/>
      <c r="Z492" s="33">
        <f t="shared" ref="Z492" si="1690">SUM(W487:W492)</f>
        <v>1170</v>
      </c>
      <c r="AA492" s="33">
        <f t="shared" ref="AA492" si="1691">+AA491+W492</f>
        <v>608469</v>
      </c>
      <c r="AB492" s="33"/>
      <c r="AC492" s="46">
        <f t="shared" ref="AC492" si="1692">+AA492/H492</f>
        <v>1.7738708714805453E-2</v>
      </c>
      <c r="AD492" s="33"/>
      <c r="AE492" s="33">
        <f t="shared" ref="AE492" si="1693">+AA492/BW492</f>
        <v>1259.7701863354037</v>
      </c>
      <c r="AF492" s="50"/>
      <c r="AG492" s="33">
        <f t="shared" ref="AG492" si="1694">SUM(W486:W492)</f>
        <v>1536</v>
      </c>
      <c r="AH492" s="33">
        <f t="shared" ref="AH492" si="1695">SUM(D463:D911)</f>
        <v>1119643030.060914</v>
      </c>
      <c r="AI492" s="213">
        <f t="shared" ref="AI492" si="1696">+(AG492-AG485)/AG485</f>
        <v>0.25592804578904332</v>
      </c>
      <c r="AJ492" s="50"/>
      <c r="AK492" s="111"/>
      <c r="AL492" s="23">
        <f t="shared" ref="AL492" si="1697">+AP492-AP491</f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ref="AR492" si="1698">+AL492/AP491</f>
        <v>6.006281479864822E-4</v>
      </c>
      <c r="AS492" s="25"/>
      <c r="AT492" s="25"/>
      <c r="AU492" s="24"/>
      <c r="AV492" s="298">
        <f t="shared" ref="AV492" si="1699">+AP492/H492</f>
        <v>0.85540536632460074</v>
      </c>
      <c r="AW492" s="298"/>
      <c r="AX492" s="24">
        <f t="shared" ref="AX492" si="1700">+AP492/BW492</f>
        <v>60749.302277432711</v>
      </c>
      <c r="AY492" s="308"/>
      <c r="AZ492" s="111"/>
      <c r="BA492" s="65">
        <f t="shared" ref="BA492" si="1701">+BC492-BC491</f>
        <v>637606</v>
      </c>
      <c r="BB492" s="66"/>
      <c r="BC492" s="66">
        <v>515212026</v>
      </c>
      <c r="BD492" s="66"/>
      <c r="BE492" s="66">
        <f t="shared" ref="BE492" si="1702">+D492</f>
        <v>36674</v>
      </c>
      <c r="BF492" s="66"/>
      <c r="BG492" s="144">
        <f t="shared" ref="BG492" si="1703">+BE492/BA492</f>
        <v>5.7518279313557276E-2</v>
      </c>
      <c r="BH492" s="66"/>
      <c r="BI492" s="170"/>
      <c r="BJ492" s="66"/>
      <c r="BK492" s="66">
        <f t="shared" ref="BK492" si="1704">SUM(BA486:BA492)</f>
        <v>4731685</v>
      </c>
      <c r="BL492" s="66"/>
      <c r="BM492" s="144">
        <f t="shared" ref="BM492" si="1705">+Q492/BK492</f>
        <v>3.810164877839501E-2</v>
      </c>
      <c r="BN492" s="65">
        <f t="shared" ref="BN492" si="1706">+BC492/BW492</f>
        <v>1066691.5652173914</v>
      </c>
      <c r="BO492" s="66"/>
      <c r="BP492" s="66">
        <f t="shared" ref="BP492" si="1707">+BP491+BE492</f>
        <v>33394786</v>
      </c>
      <c r="BQ492" s="66"/>
      <c r="BR492" s="435">
        <f t="shared" ref="BR492" si="1708">+BP492/BC492</f>
        <v>6.4817559208138517E-2</v>
      </c>
      <c r="BS492" s="66"/>
      <c r="BT492" s="75"/>
      <c r="BU492" s="170"/>
      <c r="BV492" s="1"/>
      <c r="BW492" s="61">
        <f t="shared" si="1183"/>
        <v>483</v>
      </c>
    </row>
    <row r="493" spans="2:75" x14ac:dyDescent="0.3">
      <c r="B493" s="158">
        <f t="shared" si="432"/>
        <v>44393</v>
      </c>
      <c r="C493" s="61"/>
      <c r="D493" s="17">
        <v>40529</v>
      </c>
      <c r="E493" s="16"/>
      <c r="F493" s="16"/>
      <c r="G493" s="16"/>
      <c r="H493" s="16">
        <f t="shared" ref="H493" si="1709">+H492+D493</f>
        <v>34342293</v>
      </c>
      <c r="I493" s="16"/>
      <c r="J493" s="436">
        <f t="shared" ref="J493" si="1710">+D493/H492</f>
        <v>1.1815427334874089E-3</v>
      </c>
      <c r="K493" s="16"/>
      <c r="L493" s="16"/>
      <c r="M493" s="16"/>
      <c r="N493" s="16">
        <f t="shared" ref="N493" si="1711">SUM(D487:D493)</f>
        <v>193577</v>
      </c>
      <c r="O493" s="16">
        <f t="shared" ref="O493" si="1712">+H493/BW493</f>
        <v>70955.150826446275</v>
      </c>
      <c r="P493" s="41"/>
      <c r="Q493" s="17">
        <f t="shared" ref="Q493" si="1713">SUM(D487:D493)</f>
        <v>193577</v>
      </c>
      <c r="R493" s="16"/>
      <c r="S493" s="60">
        <f t="shared" ref="S493" si="1714">+(Q493-Q486)/Q486</f>
        <v>1.0622476482682945</v>
      </c>
      <c r="T493" s="16"/>
      <c r="U493" s="41"/>
      <c r="V493" s="10">
        <f t="shared" si="356"/>
        <v>385</v>
      </c>
      <c r="W493" s="34">
        <v>293</v>
      </c>
      <c r="X493" s="33">
        <v>4256</v>
      </c>
      <c r="Y493" s="33"/>
      <c r="Z493" s="33">
        <f t="shared" ref="Z493" si="1715">SUM(W488:W493)</f>
        <v>1345</v>
      </c>
      <c r="AA493" s="33">
        <f t="shared" ref="AA493" si="1716">+AA492+W493</f>
        <v>608762</v>
      </c>
      <c r="AB493" s="33"/>
      <c r="AC493" s="46">
        <f t="shared" ref="AC493" si="1717">+AA493/H493</f>
        <v>1.7726306161327084E-2</v>
      </c>
      <c r="AD493" s="33"/>
      <c r="AE493" s="33">
        <f t="shared" ref="AE493" si="1718">+AA493/BW493</f>
        <v>1257.7727272727273</v>
      </c>
      <c r="AF493" s="50"/>
      <c r="AG493" s="33">
        <f t="shared" ref="AG493" si="1719">SUM(W487:W493)</f>
        <v>1463</v>
      </c>
      <c r="AH493" s="33">
        <f t="shared" ref="AH493" si="1720">SUM(D464:D912)</f>
        <v>1119628967.060914</v>
      </c>
      <c r="AI493" s="213">
        <f t="shared" ref="AI493" si="1721">+(AG493-AG486)/AG486</f>
        <v>0.15469613259668508</v>
      </c>
      <c r="AJ493" s="50"/>
      <c r="AK493" s="111"/>
      <c r="AL493" s="23">
        <f t="shared" ref="AL493" si="1722">+AP493-AP492</f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ref="AR493" si="1723">+AL493/AP492</f>
        <v>5.6635707426438075E-4</v>
      </c>
      <c r="AS493" s="25"/>
      <c r="AT493" s="25"/>
      <c r="AU493" s="24"/>
      <c r="AV493" s="298">
        <f t="shared" ref="AV493" si="1724">+AP493/H493</f>
        <v>0.85487975424355034</v>
      </c>
      <c r="AW493" s="298"/>
      <c r="AX493" s="24">
        <f t="shared" ref="AX493" si="1725">+AP493/BW493</f>
        <v>60658.121900826445</v>
      </c>
      <c r="AY493" s="308"/>
      <c r="AZ493" s="111"/>
      <c r="BA493" s="65">
        <f t="shared" ref="BA493" si="1726">+BC493-BC492</f>
        <v>852776</v>
      </c>
      <c r="BB493" s="66"/>
      <c r="BC493" s="66">
        <v>516064802</v>
      </c>
      <c r="BD493" s="66"/>
      <c r="BE493" s="66">
        <f t="shared" ref="BE493" si="1727">+D493</f>
        <v>40529</v>
      </c>
      <c r="BF493" s="66"/>
      <c r="BG493" s="144">
        <f t="shared" ref="BG493" si="1728">+BE493/BA493</f>
        <v>4.7525962269107012E-2</v>
      </c>
      <c r="BH493" s="66"/>
      <c r="BI493" s="170"/>
      <c r="BJ493" s="66"/>
      <c r="BK493" s="66">
        <f t="shared" ref="BK493" si="1729">SUM(BA487:BA493)</f>
        <v>4636798</v>
      </c>
      <c r="BL493" s="66"/>
      <c r="BM493" s="144">
        <f t="shared" ref="BM493" si="1730">+Q493/BK493</f>
        <v>4.1747990747062952E-2</v>
      </c>
      <c r="BN493" s="65">
        <f t="shared" ref="BN493" si="1731">+BC493/BW493</f>
        <v>1066249.5909090908</v>
      </c>
      <c r="BO493" s="66"/>
      <c r="BP493" s="66">
        <f t="shared" ref="BP493" si="1732">+BP492+BE493</f>
        <v>33435315</v>
      </c>
      <c r="BQ493" s="66"/>
      <c r="BR493" s="435">
        <f t="shared" ref="BR493" si="1733">+BP493/BC493</f>
        <v>6.478898555069447E-2</v>
      </c>
      <c r="BS493" s="66"/>
      <c r="BT493" s="75"/>
      <c r="BU493" s="170"/>
      <c r="BV493" s="1"/>
      <c r="BW493" s="61">
        <f t="shared" si="1183"/>
        <v>484</v>
      </c>
    </row>
    <row r="494" spans="2:75" x14ac:dyDescent="0.3">
      <c r="B494" s="158">
        <f t="shared" si="432"/>
        <v>44394</v>
      </c>
      <c r="C494" s="61"/>
      <c r="D494" s="17">
        <v>24081</v>
      </c>
      <c r="E494" s="16"/>
      <c r="F494" s="16"/>
      <c r="G494" s="16"/>
      <c r="H494" s="16">
        <f t="shared" ref="H494" si="1734">+H493+D494</f>
        <v>34366374</v>
      </c>
      <c r="I494" s="16"/>
      <c r="J494" s="436">
        <f t="shared" ref="J494" si="1735">+D494/H493</f>
        <v>7.0120536214631911E-4</v>
      </c>
      <c r="K494" s="16"/>
      <c r="L494" s="16"/>
      <c r="M494" s="16"/>
      <c r="N494" s="16">
        <f t="shared" ref="N494" si="1736">SUM(D488:D494)</f>
        <v>203123</v>
      </c>
      <c r="O494" s="16">
        <f t="shared" ref="O494" si="1737">+H494/BW494</f>
        <v>70858.503092783503</v>
      </c>
      <c r="P494" s="41"/>
      <c r="Q494" s="17">
        <f t="shared" ref="Q494" si="1738">SUM(D488:D494)</f>
        <v>203123</v>
      </c>
      <c r="R494" s="16"/>
      <c r="S494" s="60">
        <f t="shared" ref="S494" si="1739">+(Q494-Q487)/Q487</f>
        <v>1.0226539472636023</v>
      </c>
      <c r="T494" s="16"/>
      <c r="U494" s="41"/>
      <c r="V494" s="10">
        <f t="shared" si="356"/>
        <v>386</v>
      </c>
      <c r="W494" s="34">
        <v>113</v>
      </c>
      <c r="X494" s="33">
        <v>4256</v>
      </c>
      <c r="Y494" s="33"/>
      <c r="Z494" s="33">
        <f t="shared" ref="Z494" si="1740">SUM(W489:W494)</f>
        <v>1431</v>
      </c>
      <c r="AA494" s="33">
        <f t="shared" ref="AA494" si="1741">+AA493+W494</f>
        <v>608875</v>
      </c>
      <c r="AB494" s="33"/>
      <c r="AC494" s="46">
        <f t="shared" ref="AC494" si="1742">+AA494/H494</f>
        <v>1.7717173187954016E-2</v>
      </c>
      <c r="AD494" s="33"/>
      <c r="AE494" s="33">
        <f t="shared" ref="AE494" si="1743">+AA494/BW494</f>
        <v>1255.4123711340205</v>
      </c>
      <c r="AF494" s="50"/>
      <c r="AG494" s="33">
        <f t="shared" ref="AG494" si="1744">SUM(W488:W494)</f>
        <v>1458</v>
      </c>
      <c r="AH494" s="33">
        <f t="shared" ref="AH494" si="1745">SUM(D465:D913)</f>
        <v>1119615234.060914</v>
      </c>
      <c r="AI494" s="213">
        <f t="shared" ref="AI494" si="1746">+(AG494-AG487)/AG487</f>
        <v>0.13110938712179984</v>
      </c>
      <c r="AJ494" s="50"/>
      <c r="AK494" s="111"/>
      <c r="AL494" s="23">
        <f t="shared" ref="AL494" si="1747">+AP494-AP493</f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ref="AR494" si="1748">+AL494/AP493</f>
        <v>3.6275656980248774E-4</v>
      </c>
      <c r="AS494" s="25"/>
      <c r="AT494" s="25"/>
      <c r="AU494" s="24"/>
      <c r="AV494" s="298">
        <f t="shared" ref="AV494" si="1749">+AP494/H494</f>
        <v>0.8545906239628307</v>
      </c>
      <c r="AW494" s="298"/>
      <c r="AX494" s="24">
        <f t="shared" ref="AX494" si="1750">+AP494/BW494</f>
        <v>60555.01237113402</v>
      </c>
      <c r="AY494" s="308"/>
      <c r="AZ494" s="111"/>
      <c r="BA494" s="65">
        <f t="shared" ref="BA494" si="1751">+BC494-BC493</f>
        <v>212860</v>
      </c>
      <c r="BB494" s="66"/>
      <c r="BC494" s="66">
        <v>516277662</v>
      </c>
      <c r="BD494" s="66"/>
      <c r="BE494" s="66">
        <f t="shared" ref="BE494" si="1752">+D494</f>
        <v>24081</v>
      </c>
      <c r="BF494" s="66"/>
      <c r="BG494" s="144">
        <f t="shared" ref="BG494" si="1753">+BE494/BA494</f>
        <v>0.11313069623226533</v>
      </c>
      <c r="BH494" s="66"/>
      <c r="BI494" s="170"/>
      <c r="BJ494" s="66"/>
      <c r="BK494" s="66">
        <f t="shared" ref="BK494" si="1754">SUM(BA488:BA494)</f>
        <v>4606997</v>
      </c>
      <c r="BL494" s="66"/>
      <c r="BM494" s="144">
        <f t="shared" ref="BM494" si="1755">+Q494/BK494</f>
        <v>4.409010902329652E-2</v>
      </c>
      <c r="BN494" s="65">
        <f t="shared" ref="BN494" si="1756">+BC494/BW494</f>
        <v>1064490.024742268</v>
      </c>
      <c r="BO494" s="66"/>
      <c r="BP494" s="66">
        <f t="shared" ref="BP494" si="1757">+BP493+BE494</f>
        <v>33459396</v>
      </c>
      <c r="BQ494" s="66"/>
      <c r="BR494" s="435">
        <f t="shared" ref="BR494" si="1758">+BP494/BC494</f>
        <v>6.480891671815156E-2</v>
      </c>
      <c r="BS494" s="66"/>
      <c r="BT494" s="75"/>
      <c r="BU494" s="170"/>
      <c r="BV494" s="1"/>
      <c r="BW494" s="61">
        <f t="shared" si="1183"/>
        <v>485</v>
      </c>
    </row>
    <row r="495" spans="2:75" x14ac:dyDescent="0.3">
      <c r="B495" s="347">
        <f t="shared" si="432"/>
        <v>44395</v>
      </c>
      <c r="C495" s="61"/>
      <c r="D495" s="17">
        <v>22278</v>
      </c>
      <c r="E495" s="16"/>
      <c r="F495" s="16"/>
      <c r="G495" s="16"/>
      <c r="H495" s="16">
        <f t="shared" ref="H495" si="1759">+H494+D495</f>
        <v>34388652</v>
      </c>
      <c r="I495" s="16"/>
      <c r="J495" s="436">
        <f t="shared" ref="J495" si="1760">+D495/H494</f>
        <v>6.4824994338943064E-4</v>
      </c>
      <c r="K495" s="16"/>
      <c r="L495" s="16"/>
      <c r="M495" s="16"/>
      <c r="N495" s="16">
        <f t="shared" ref="N495" si="1761">SUM(D489:D495)</f>
        <v>218759</v>
      </c>
      <c r="O495" s="16">
        <f t="shared" ref="O495" si="1762">+H495/BW495</f>
        <v>70758.543209876545</v>
      </c>
      <c r="P495" s="41"/>
      <c r="Q495" s="17">
        <f t="shared" ref="Q495" si="1763">SUM(D489:D495)</f>
        <v>218759</v>
      </c>
      <c r="R495" s="16"/>
      <c r="S495" s="60">
        <f t="shared" ref="S495" si="1764">+(Q495-Q488)/Q488</f>
        <v>1.1591539425762705</v>
      </c>
      <c r="T495" s="16"/>
      <c r="U495" s="41"/>
      <c r="V495" s="10">
        <f t="shared" si="356"/>
        <v>387</v>
      </c>
      <c r="W495" s="34">
        <v>82</v>
      </c>
      <c r="X495" s="33">
        <v>4256</v>
      </c>
      <c r="Y495" s="33"/>
      <c r="Z495" s="33">
        <f t="shared" ref="Z495" si="1765">SUM(W490:W495)</f>
        <v>1350</v>
      </c>
      <c r="AA495" s="33">
        <f t="shared" ref="AA495" si="1766">+AA494+W495</f>
        <v>608957</v>
      </c>
      <c r="AB495" s="33"/>
      <c r="AC495" s="46">
        <f t="shared" ref="AC495" si="1767">+AA495/H495</f>
        <v>1.7708079979407161E-2</v>
      </c>
      <c r="AD495" s="33"/>
      <c r="AE495" s="33">
        <f t="shared" ref="AE495" si="1768">+AA495/BW495</f>
        <v>1252.9979423868313</v>
      </c>
      <c r="AF495" s="50"/>
      <c r="AG495" s="33">
        <f t="shared" ref="AG495" si="1769">SUM(W489:W495)</f>
        <v>1513</v>
      </c>
      <c r="AH495" s="33">
        <f t="shared" ref="AH495" si="1770">SUM(D466:D914)</f>
        <v>1119601845.060914</v>
      </c>
      <c r="AI495" s="213">
        <f t="shared" ref="AI495" si="1771">+(AG495-AG488)/AG488</f>
        <v>0.19984139571768439</v>
      </c>
      <c r="AJ495" s="50"/>
      <c r="AK495" s="111"/>
      <c r="AL495" s="23">
        <f t="shared" ref="AL495" si="1772">+AP495-AP494</f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ref="AR495" si="1773">+AL495/AP494</f>
        <v>3.8652763248658519E-4</v>
      </c>
      <c r="AS495" s="25"/>
      <c r="AT495" s="25"/>
      <c r="AU495" s="24"/>
      <c r="AV495" s="298">
        <f t="shared" ref="AV495" si="1774">+AP495/H495</f>
        <v>0.85436710342702582</v>
      </c>
      <c r="AW495" s="298"/>
      <c r="AX495" s="24">
        <f t="shared" ref="AX495" si="1775">+AP495/BW495</f>
        <v>60453.771604938273</v>
      </c>
      <c r="AY495" s="308"/>
      <c r="AZ495" s="111"/>
      <c r="BA495" s="65">
        <f t="shared" ref="BA495" si="1776">+BC495-BC494</f>
        <v>1092874</v>
      </c>
      <c r="BB495" s="66"/>
      <c r="BC495" s="66">
        <v>517370536</v>
      </c>
      <c r="BD495" s="66"/>
      <c r="BE495" s="66">
        <f t="shared" ref="BE495" si="1777">+D495</f>
        <v>22278</v>
      </c>
      <c r="BF495" s="66"/>
      <c r="BG495" s="144">
        <f t="shared" ref="BG495" si="1778">+BE495/BA495</f>
        <v>2.0384783607259392E-2</v>
      </c>
      <c r="BH495" s="66"/>
      <c r="BI495" s="170"/>
      <c r="BJ495" s="66"/>
      <c r="BK495" s="66">
        <f t="shared" ref="BK495" si="1779">SUM(BA489:BA495)</f>
        <v>5565009</v>
      </c>
      <c r="BL495" s="66"/>
      <c r="BM495" s="144">
        <f t="shared" ref="BM495" si="1780">+Q495/BK495</f>
        <v>3.9309729777615814E-2</v>
      </c>
      <c r="BN495" s="65">
        <f t="shared" ref="BN495" si="1781">+BC495/BW495</f>
        <v>1064548.4279835392</v>
      </c>
      <c r="BO495" s="66"/>
      <c r="BP495" s="66">
        <f t="shared" ref="BP495" si="1782">+BP494+BE495</f>
        <v>33481674</v>
      </c>
      <c r="BQ495" s="66"/>
      <c r="BR495" s="435">
        <f t="shared" ref="BR495" si="1783">+BP495/BC495</f>
        <v>6.4715076855478296E-2</v>
      </c>
      <c r="BS495" s="66"/>
      <c r="BT495" s="75"/>
      <c r="BU495" s="170"/>
      <c r="BV495" s="1"/>
      <c r="BW495" s="61">
        <f t="shared" si="1183"/>
        <v>486</v>
      </c>
    </row>
    <row r="496" spans="2:75" x14ac:dyDescent="0.3">
      <c r="B496" s="158">
        <f t="shared" si="432"/>
        <v>44396</v>
      </c>
      <c r="C496" s="61"/>
      <c r="D496" s="17">
        <v>32576</v>
      </c>
      <c r="E496" s="16"/>
      <c r="F496" s="16"/>
      <c r="G496" s="16"/>
      <c r="H496" s="16">
        <f t="shared" ref="H496" si="1784">+H495+D496</f>
        <v>34421228</v>
      </c>
      <c r="I496" s="16"/>
      <c r="J496" s="436">
        <f t="shared" ref="J496" si="1785">+D496/H495</f>
        <v>9.4728923948516502E-4</v>
      </c>
      <c r="K496" s="16"/>
      <c r="L496" s="16"/>
      <c r="M496" s="16"/>
      <c r="N496" s="16">
        <f t="shared" ref="N496" si="1786">SUM(D490:D496)</f>
        <v>231339</v>
      </c>
      <c r="O496" s="16">
        <f t="shared" ref="O496" si="1787">+H496/BW496</f>
        <v>70680.139630390142</v>
      </c>
      <c r="P496" s="41"/>
      <c r="Q496" s="17">
        <f t="shared" ref="Q496" si="1788">SUM(D490:D496)</f>
        <v>231339</v>
      </c>
      <c r="R496" s="16"/>
      <c r="S496" s="60">
        <f t="shared" ref="S496" si="1789">+(Q496-Q489)/Q489</f>
        <v>0.99119477367211506</v>
      </c>
      <c r="T496" s="16"/>
      <c r="U496" s="41"/>
      <c r="V496" s="10">
        <f t="shared" si="356"/>
        <v>388</v>
      </c>
      <c r="W496" s="34">
        <v>137</v>
      </c>
      <c r="X496" s="33">
        <v>4256</v>
      </c>
      <c r="Y496" s="33"/>
      <c r="Z496" s="33">
        <f t="shared" ref="Z496" si="1790">SUM(W491:W496)</f>
        <v>1316</v>
      </c>
      <c r="AA496" s="33">
        <f t="shared" ref="AA496" si="1791">+AA495+W496</f>
        <v>609094</v>
      </c>
      <c r="AB496" s="33"/>
      <c r="AC496" s="46">
        <f t="shared" ref="AC496" si="1792">+AA496/H496</f>
        <v>1.7695301283266244E-2</v>
      </c>
      <c r="AD496" s="33"/>
      <c r="AE496" s="33">
        <f t="shared" ref="AE496" si="1793">+AA496/BW496</f>
        <v>1250.7063655030802</v>
      </c>
      <c r="AF496" s="50"/>
      <c r="AG496" s="33">
        <f t="shared" ref="AG496" si="1794">SUM(W490:W496)</f>
        <v>1487</v>
      </c>
      <c r="AH496" s="33">
        <f t="shared" ref="AH496" si="1795">SUM(D467:D915)</f>
        <v>1119594063.060914</v>
      </c>
      <c r="AI496" s="213">
        <f t="shared" ref="AI496" si="1796">+(AG496-AG489)/AG489</f>
        <v>7.1325648414985593E-2</v>
      </c>
      <c r="AJ496" s="50"/>
      <c r="AK496" s="111"/>
      <c r="AL496" s="23">
        <f t="shared" ref="AL496" si="1797">+AP496-AP495</f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ref="AR496" si="1798">+AL496/AP495</f>
        <v>1.0695176973133877E-3</v>
      </c>
      <c r="AS496" s="25"/>
      <c r="AT496" s="25"/>
      <c r="AU496" s="24"/>
      <c r="AV496" s="298">
        <f t="shared" ref="AV496" si="1799">+AP496/H496</f>
        <v>0.85447143257062186</v>
      </c>
      <c r="AW496" s="298"/>
      <c r="AX496" s="24">
        <f t="shared" ref="AX496" si="1800">+AP496/BW496</f>
        <v>60394.160164271045</v>
      </c>
      <c r="AY496" s="308"/>
      <c r="AZ496" s="111"/>
      <c r="BA496" s="65">
        <f t="shared" ref="BA496" si="1801">+BC496-BC495</f>
        <v>614626</v>
      </c>
      <c r="BB496" s="66"/>
      <c r="BC496" s="66">
        <v>517985162</v>
      </c>
      <c r="BD496" s="66"/>
      <c r="BE496" s="66">
        <f t="shared" ref="BE496" si="1802">+D496</f>
        <v>32576</v>
      </c>
      <c r="BF496" s="66"/>
      <c r="BG496" s="144">
        <f t="shared" ref="BG496" si="1803">+BE496/BA496</f>
        <v>5.3001337398678218E-2</v>
      </c>
      <c r="BH496" s="66"/>
      <c r="BI496" s="170"/>
      <c r="BJ496" s="66"/>
      <c r="BK496" s="66">
        <f t="shared" ref="BK496" si="1804">SUM(BA490:BA496)</f>
        <v>4821272</v>
      </c>
      <c r="BL496" s="66"/>
      <c r="BM496" s="144">
        <f t="shared" ref="BM496" si="1805">+Q496/BK496</f>
        <v>4.7982980425082838E-2</v>
      </c>
      <c r="BN496" s="65">
        <f t="shared" ref="BN496" si="1806">+BC496/BW496</f>
        <v>1063624.5626283367</v>
      </c>
      <c r="BO496" s="66"/>
      <c r="BP496" s="66">
        <f t="shared" ref="BP496" si="1807">+BP495+BE496</f>
        <v>33514250</v>
      </c>
      <c r="BQ496" s="66"/>
      <c r="BR496" s="435">
        <f t="shared" ref="BR496" si="1808">+BP496/BC496</f>
        <v>6.4701177675819219E-2</v>
      </c>
      <c r="BS496" s="66"/>
      <c r="BT496" s="75"/>
      <c r="BU496" s="170"/>
      <c r="BV496" s="1"/>
      <c r="BW496" s="61">
        <f t="shared" si="1183"/>
        <v>487</v>
      </c>
    </row>
    <row r="497" spans="2:75" x14ac:dyDescent="0.3">
      <c r="B497" s="158">
        <f t="shared" si="432"/>
        <v>44397</v>
      </c>
      <c r="C497" s="61"/>
      <c r="D497" s="17">
        <v>44232</v>
      </c>
      <c r="E497" s="16"/>
      <c r="F497" s="16"/>
      <c r="G497" s="16"/>
      <c r="H497" s="16">
        <f t="shared" ref="H497" si="1809">+H496+D497</f>
        <v>34465460</v>
      </c>
      <c r="I497" s="16"/>
      <c r="J497" s="436">
        <f t="shared" ref="J497" si="1810">+D497/H496</f>
        <v>1.2850209760093393E-3</v>
      </c>
      <c r="K497" s="16"/>
      <c r="L497" s="16"/>
      <c r="M497" s="16"/>
      <c r="N497" s="16">
        <f t="shared" ref="N497" si="1811">SUM(D491:D497)</f>
        <v>235817</v>
      </c>
      <c r="O497" s="16">
        <f t="shared" ref="O497" si="1812">+H497/BW497</f>
        <v>70625.942622950824</v>
      </c>
      <c r="P497" s="41"/>
      <c r="Q497" s="17">
        <f t="shared" ref="Q497" si="1813">SUM(D491:D497)</f>
        <v>235817</v>
      </c>
      <c r="R497" s="16"/>
      <c r="S497" s="60">
        <f t="shared" ref="S497" si="1814">+(Q497-Q490)/Q490</f>
        <v>0.63395300818303391</v>
      </c>
      <c r="T497" s="16"/>
      <c r="U497" s="41"/>
      <c r="V497" s="10">
        <f t="shared" si="356"/>
        <v>389</v>
      </c>
      <c r="W497" s="34">
        <v>256</v>
      </c>
      <c r="X497" s="33">
        <v>4256</v>
      </c>
      <c r="Y497" s="33"/>
      <c r="Z497" s="33">
        <f t="shared" ref="Z497" si="1815">SUM(W492:W497)</f>
        <v>1225</v>
      </c>
      <c r="AA497" s="33">
        <f t="shared" ref="AA497" si="1816">+AA496+W497</f>
        <v>609350</v>
      </c>
      <c r="AB497" s="33"/>
      <c r="AC497" s="46">
        <f t="shared" ref="AC497" si="1817">+AA497/H497</f>
        <v>1.7680019358511392E-2</v>
      </c>
      <c r="AD497" s="33"/>
      <c r="AE497" s="33">
        <f t="shared" ref="AE497" si="1818">+AA497/BW497</f>
        <v>1248.6680327868853</v>
      </c>
      <c r="AF497" s="50"/>
      <c r="AG497" s="33">
        <f t="shared" ref="AG497" si="1819">SUM(W491:W497)</f>
        <v>1572</v>
      </c>
      <c r="AH497" s="33">
        <f t="shared" ref="AH497" si="1820">SUM(D468:D916)</f>
        <v>1119589641.060914</v>
      </c>
      <c r="AI497" s="213">
        <f t="shared" ref="AI497" si="1821">+(AG497-AG490)/AG490</f>
        <v>0.15843773028739869</v>
      </c>
      <c r="AJ497" s="50"/>
      <c r="AK497" s="111"/>
      <c r="AL497" s="23">
        <f t="shared" ref="AL497" si="1822">+AP497-AP496</f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ref="AR497" si="1823">+AL497/AP496</f>
        <v>7.8930486636114917E-4</v>
      </c>
      <c r="AS497" s="25"/>
      <c r="AT497" s="25"/>
      <c r="AU497" s="24"/>
      <c r="AV497" s="298">
        <f t="shared" ref="AV497" si="1824">+AP497/H497</f>
        <v>0.85404840092080592</v>
      </c>
      <c r="AW497" s="298"/>
      <c r="AX497" s="24">
        <f t="shared" ref="AX497" si="1825">+AP497/BW497</f>
        <v>60317.973360655735</v>
      </c>
      <c r="AY497" s="308"/>
      <c r="AZ497" s="111"/>
      <c r="BA497" s="65">
        <f t="shared" ref="BA497" si="1826">+BC497-BC496</f>
        <v>673069</v>
      </c>
      <c r="BB497" s="66"/>
      <c r="BC497" s="66">
        <v>518658231</v>
      </c>
      <c r="BD497" s="66"/>
      <c r="BE497" s="66">
        <f t="shared" ref="BE497" si="1827">+D497</f>
        <v>44232</v>
      </c>
      <c r="BF497" s="66"/>
      <c r="BG497" s="144">
        <f t="shared" ref="BG497" si="1828">+BE497/BA497</f>
        <v>6.571688786736575E-2</v>
      </c>
      <c r="BH497" s="66"/>
      <c r="BI497" s="170"/>
      <c r="BJ497" s="66"/>
      <c r="BK497" s="66">
        <f t="shared" ref="BK497" si="1829">SUM(BA491:BA497)</f>
        <v>4958231</v>
      </c>
      <c r="BL497" s="66"/>
      <c r="BM497" s="144">
        <f t="shared" ref="BM497" si="1830">+Q497/BK497</f>
        <v>4.7560712681599546E-2</v>
      </c>
      <c r="BN497" s="65">
        <f t="shared" ref="BN497" si="1831">+BC497/BW497</f>
        <v>1062824.2438524591</v>
      </c>
      <c r="BO497" s="66"/>
      <c r="BP497" s="66">
        <f t="shared" ref="BP497" si="1832">+BP496+BE497</f>
        <v>33558482</v>
      </c>
      <c r="BQ497" s="66"/>
      <c r="BR497" s="435">
        <f t="shared" ref="BR497" si="1833">+BP497/BC497</f>
        <v>6.4702495775103203E-2</v>
      </c>
      <c r="BS497" s="66"/>
      <c r="BT497" s="75"/>
      <c r="BU497" s="170"/>
      <c r="BV497" s="1"/>
      <c r="BW497" s="61">
        <f t="shared" si="1183"/>
        <v>488</v>
      </c>
    </row>
    <row r="498" spans="2:75" x14ac:dyDescent="0.3">
      <c r="B498" s="158">
        <f t="shared" si="432"/>
        <v>44398</v>
      </c>
      <c r="C498" s="61"/>
      <c r="D498" s="17">
        <v>56525</v>
      </c>
      <c r="E498" s="16"/>
      <c r="F498" s="16"/>
      <c r="G498" s="16"/>
      <c r="H498" s="16">
        <f t="shared" ref="H498" si="1834">+H497+D498</f>
        <v>34521985</v>
      </c>
      <c r="I498" s="16"/>
      <c r="J498" s="436">
        <f t="shared" ref="J498" si="1835">+D498/H497</f>
        <v>1.6400477463524351E-3</v>
      </c>
      <c r="K498" s="16"/>
      <c r="L498" s="16"/>
      <c r="M498" s="16"/>
      <c r="N498" s="16">
        <f t="shared" ref="N498" si="1836">SUM(D492:D498)</f>
        <v>256895</v>
      </c>
      <c r="O498" s="16">
        <f t="shared" ref="O498" si="1837">+H498/BW498</f>
        <v>70597.106339468301</v>
      </c>
      <c r="P498" s="41"/>
      <c r="Q498" s="17">
        <f t="shared" ref="Q498" si="1838">SUM(D492:D498)</f>
        <v>256895</v>
      </c>
      <c r="R498" s="16"/>
      <c r="S498" s="60">
        <f t="shared" ref="S498" si="1839">+(Q498-Q491)/Q491</f>
        <v>0.57644914640582234</v>
      </c>
      <c r="T498" s="16"/>
      <c r="U498" s="41"/>
      <c r="V498" s="10">
        <f t="shared" si="356"/>
        <v>390</v>
      </c>
      <c r="W498" s="34">
        <v>416</v>
      </c>
      <c r="X498" s="33">
        <v>4256</v>
      </c>
      <c r="Y498" s="33"/>
      <c r="Z498" s="33">
        <f t="shared" ref="Z498" si="1840">SUM(W493:W498)</f>
        <v>1297</v>
      </c>
      <c r="AA498" s="33">
        <f t="shared" ref="AA498" si="1841">+AA497+W498</f>
        <v>609766</v>
      </c>
      <c r="AB498" s="33"/>
      <c r="AC498" s="46">
        <f t="shared" ref="AC498" si="1842">+AA498/H498</f>
        <v>1.7663121051700821E-2</v>
      </c>
      <c r="AD498" s="33"/>
      <c r="AE498" s="33">
        <f t="shared" ref="AE498" si="1843">+AA498/BW498</f>
        <v>1246.9652351738241</v>
      </c>
      <c r="AF498" s="50"/>
      <c r="AG498" s="33">
        <f t="shared" ref="AG498" si="1844">SUM(W492:W498)</f>
        <v>1641</v>
      </c>
      <c r="AH498" s="33">
        <f t="shared" ref="AH498" si="1845">SUM(D469:D917)</f>
        <v>1119579886.060914</v>
      </c>
      <c r="AI498" s="213">
        <f t="shared" ref="AI498" si="1846">+(AG498-AG491)/AG491</f>
        <v>0.12938747419132829</v>
      </c>
      <c r="AJ498" s="50"/>
      <c r="AK498" s="111"/>
      <c r="AL498" s="23">
        <f t="shared" ref="AL498" si="1847">+AP498-AP497</f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ref="AR498" si="1848">+AL498/AP497</f>
        <v>7.8925989592518425E-4</v>
      </c>
      <c r="AS498" s="25"/>
      <c r="AT498" s="25"/>
      <c r="AU498" s="24"/>
      <c r="AV498" s="298">
        <f t="shared" ref="AV498" si="1849">+AP498/H498</f>
        <v>0.85332297664806933</v>
      </c>
      <c r="AW498" s="298"/>
      <c r="AX498" s="24">
        <f t="shared" ref="AX498" si="1850">+AP498/BW498</f>
        <v>60242.132924335376</v>
      </c>
      <c r="AY498" s="308"/>
      <c r="AZ498" s="111"/>
      <c r="BA498" s="65">
        <f t="shared" ref="BA498" si="1851">+BC498-BC497</f>
        <v>822020</v>
      </c>
      <c r="BB498" s="66"/>
      <c r="BC498" s="66">
        <v>519480251</v>
      </c>
      <c r="BD498" s="66"/>
      <c r="BE498" s="66">
        <f t="shared" ref="BE498" si="1852">+D498</f>
        <v>56525</v>
      </c>
      <c r="BF498" s="66"/>
      <c r="BG498" s="144">
        <f t="shared" ref="BG498" si="1853">+BE498/BA498</f>
        <v>6.8763533733972412E-2</v>
      </c>
      <c r="BH498" s="66"/>
      <c r="BI498" s="170"/>
      <c r="BJ498" s="66"/>
      <c r="BK498" s="66">
        <f t="shared" ref="BK498" si="1854">SUM(BA492:BA498)</f>
        <v>4905831</v>
      </c>
      <c r="BL498" s="66"/>
      <c r="BM498" s="144">
        <f t="shared" ref="BM498" si="1855">+Q498/BK498</f>
        <v>5.2365236389105126E-2</v>
      </c>
      <c r="BN498" s="65">
        <f t="shared" ref="BN498" si="1856">+BC498/BW498</f>
        <v>1062331.8016359918</v>
      </c>
      <c r="BO498" s="66"/>
      <c r="BP498" s="66">
        <f t="shared" ref="BP498" si="1857">+BP497+BE498</f>
        <v>33615007</v>
      </c>
      <c r="BQ498" s="66"/>
      <c r="BR498" s="435">
        <f t="shared" ref="BR498" si="1858">+BP498/BC498</f>
        <v>6.4708921918188569E-2</v>
      </c>
      <c r="BS498" s="66"/>
      <c r="BT498" s="75"/>
      <c r="BU498" s="170"/>
      <c r="BV498" s="1"/>
      <c r="BW498" s="61">
        <f t="shared" si="1183"/>
        <v>489</v>
      </c>
    </row>
    <row r="499" spans="2:75" x14ac:dyDescent="0.3">
      <c r="B499" s="158">
        <f t="shared" si="432"/>
        <v>44399</v>
      </c>
      <c r="C499" s="61"/>
      <c r="D499" s="17">
        <v>61651</v>
      </c>
      <c r="E499" s="16"/>
      <c r="F499" s="16"/>
      <c r="G499" s="16"/>
      <c r="H499" s="16">
        <f t="shared" ref="H499" si="1859">+H498+D499</f>
        <v>34583636</v>
      </c>
      <c r="I499" s="16"/>
      <c r="J499" s="436">
        <f t="shared" ref="J499" si="1860">+D499/H498</f>
        <v>1.7858474824086737E-3</v>
      </c>
      <c r="K499" s="16"/>
      <c r="L499" s="16"/>
      <c r="M499" s="16"/>
      <c r="N499" s="16">
        <f t="shared" ref="N499" si="1861">SUM(D493:D499)</f>
        <v>281872</v>
      </c>
      <c r="O499" s="16">
        <f t="shared" ref="O499" si="1862">+H499/BW499</f>
        <v>70578.848979591843</v>
      </c>
      <c r="P499" s="41"/>
      <c r="Q499" s="17">
        <f t="shared" ref="Q499" si="1863">SUM(D493:D499)</f>
        <v>281872</v>
      </c>
      <c r="R499" s="16"/>
      <c r="S499" s="60">
        <f t="shared" ref="S499" si="1864">+(Q499-Q492)/Q492</f>
        <v>0.56348004548353992</v>
      </c>
      <c r="T499" s="16"/>
      <c r="U499" s="41"/>
      <c r="V499" s="10">
        <f t="shared" si="356"/>
        <v>391</v>
      </c>
      <c r="W499" s="34">
        <v>365</v>
      </c>
      <c r="X499" s="33">
        <v>4256</v>
      </c>
      <c r="Y499" s="33"/>
      <c r="Z499" s="33">
        <f t="shared" ref="Z499" si="1865">SUM(W494:W499)</f>
        <v>1369</v>
      </c>
      <c r="AA499" s="33">
        <f t="shared" ref="AA499" si="1866">+AA498+W499</f>
        <v>610131</v>
      </c>
      <c r="AB499" s="33"/>
      <c r="AC499" s="46">
        <f t="shared" ref="AC499" si="1867">+AA499/H499</f>
        <v>1.7642187767648261E-2</v>
      </c>
      <c r="AD499" s="33"/>
      <c r="AE499" s="33">
        <f t="shared" ref="AE499" si="1868">+AA499/BW499</f>
        <v>1245.165306122449</v>
      </c>
      <c r="AF499" s="50"/>
      <c r="AG499" s="33">
        <f t="shared" ref="AG499" si="1869">SUM(W493:W499)</f>
        <v>1662</v>
      </c>
      <c r="AH499" s="33">
        <f t="shared" ref="AH499" si="1870">SUM(D470:D918)</f>
        <v>1119567012.060914</v>
      </c>
      <c r="AI499" s="213">
        <f t="shared" ref="AI499" si="1871">+(AG499-AG492)/AG492</f>
        <v>8.203125E-2</v>
      </c>
      <c r="AJ499" s="50"/>
      <c r="AK499" s="111"/>
      <c r="AL499" s="23">
        <f t="shared" ref="AL499" si="1872">+AP499-AP498</f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ref="AR499" si="1873">+AL499/AP498</f>
        <v>6.7111581031734817E-4</v>
      </c>
      <c r="AS499" s="25"/>
      <c r="AT499" s="25"/>
      <c r="AU499" s="24"/>
      <c r="AV499" s="298">
        <f t="shared" ref="AV499" si="1874">+AP499/H499</f>
        <v>0.85237344621600808</v>
      </c>
      <c r="AW499" s="298"/>
      <c r="AX499" s="24">
        <f t="shared" ref="AX499" si="1875">+AP499/BW499</f>
        <v>60159.53673469388</v>
      </c>
      <c r="AY499" s="308"/>
      <c r="AZ499" s="111"/>
      <c r="BA499" s="65">
        <f t="shared" ref="BA499" si="1876">+BC499-BC498</f>
        <v>931237</v>
      </c>
      <c r="BB499" s="66"/>
      <c r="BC499" s="66">
        <v>520411488</v>
      </c>
      <c r="BD499" s="66"/>
      <c r="BE499" s="66">
        <f t="shared" ref="BE499" si="1877">+D499</f>
        <v>61651</v>
      </c>
      <c r="BF499" s="66"/>
      <c r="BG499" s="144">
        <f t="shared" ref="BG499" si="1878">+BE499/BA499</f>
        <v>6.6203340288240264E-2</v>
      </c>
      <c r="BH499" s="66"/>
      <c r="BI499" s="170"/>
      <c r="BJ499" s="66"/>
      <c r="BK499" s="66">
        <f t="shared" ref="BK499" si="1879">SUM(BA493:BA499)</f>
        <v>5199462</v>
      </c>
      <c r="BL499" s="66"/>
      <c r="BM499" s="144">
        <f t="shared" ref="BM499" si="1880">+Q499/BK499</f>
        <v>5.4211762678523276E-2</v>
      </c>
      <c r="BN499" s="65">
        <f t="shared" ref="BN499" si="1881">+BC499/BW499</f>
        <v>1062064.2612244899</v>
      </c>
      <c r="BO499" s="66"/>
      <c r="BP499" s="66">
        <f t="shared" ref="BP499" si="1882">+BP498+BE499</f>
        <v>33676658</v>
      </c>
      <c r="BQ499" s="66"/>
      <c r="BR499" s="435">
        <f t="shared" ref="BR499" si="1883">+BP499/BC499</f>
        <v>6.4711596066841626E-2</v>
      </c>
      <c r="BS499" s="66"/>
      <c r="BT499" s="75"/>
      <c r="BU499" s="170"/>
      <c r="BV499" s="1"/>
      <c r="BW499" s="61">
        <f t="shared" si="1183"/>
        <v>490</v>
      </c>
    </row>
    <row r="500" spans="2:75" x14ac:dyDescent="0.3">
      <c r="B500" s="158">
        <f t="shared" si="432"/>
        <v>44400</v>
      </c>
      <c r="C500" s="61"/>
      <c r="D500" s="17">
        <v>67485</v>
      </c>
      <c r="E500" s="16"/>
      <c r="F500" s="16"/>
      <c r="G500" s="16"/>
      <c r="H500" s="16">
        <f t="shared" ref="H500" si="1884">+H499+D500</f>
        <v>34651121</v>
      </c>
      <c r="I500" s="16"/>
      <c r="J500" s="436">
        <f t="shared" ref="J500" si="1885">+D500/H499</f>
        <v>1.9513564160807152E-3</v>
      </c>
      <c r="K500" s="16"/>
      <c r="L500" s="16"/>
      <c r="M500" s="16"/>
      <c r="N500" s="16">
        <f t="shared" ref="N500" si="1886">SUM(D494:D500)</f>
        <v>308828</v>
      </c>
      <c r="O500" s="16">
        <f t="shared" ref="O500" si="1887">+H500/BW500</f>
        <v>70572.547861507133</v>
      </c>
      <c r="P500" s="41"/>
      <c r="Q500" s="17">
        <f t="shared" ref="Q500" si="1888">SUM(D494:D500)</f>
        <v>308828</v>
      </c>
      <c r="R500" s="16"/>
      <c r="S500" s="60">
        <f t="shared" ref="S500" si="1889">+(Q500-Q493)/Q493</f>
        <v>0.5953754836576659</v>
      </c>
      <c r="T500" s="16"/>
      <c r="U500" s="41"/>
      <c r="V500" s="10">
        <f t="shared" si="356"/>
        <v>392</v>
      </c>
      <c r="W500" s="34">
        <v>428</v>
      </c>
      <c r="X500" s="33">
        <v>4256</v>
      </c>
      <c r="Y500" s="33"/>
      <c r="Z500" s="33">
        <f t="shared" ref="Z500" si="1890">SUM(W495:W500)</f>
        <v>1684</v>
      </c>
      <c r="AA500" s="33">
        <f t="shared" ref="AA500" si="1891">+AA499+W500</f>
        <v>610559</v>
      </c>
      <c r="AB500" s="33"/>
      <c r="AC500" s="46">
        <f t="shared" ref="AC500" si="1892">+AA500/H500</f>
        <v>1.7620180311049678E-2</v>
      </c>
      <c r="AD500" s="33"/>
      <c r="AE500" s="33">
        <f t="shared" ref="AE500" si="1893">+AA500/BW500</f>
        <v>1243.5010183299389</v>
      </c>
      <c r="AF500" s="50"/>
      <c r="AG500" s="33">
        <f t="shared" ref="AG500" si="1894">SUM(W494:W500)</f>
        <v>1797</v>
      </c>
      <c r="AH500" s="33">
        <f t="shared" ref="AH500" si="1895">SUM(D471:D919)</f>
        <v>1119553647.060914</v>
      </c>
      <c r="AI500" s="213">
        <f t="shared" ref="AI500" si="1896">+(AG500-AG493)/AG493</f>
        <v>0.22829801777170197</v>
      </c>
      <c r="AJ500" s="50"/>
      <c r="AK500" s="111"/>
      <c r="AL500" s="23">
        <f t="shared" ref="AL500" si="1897">+AP500-AP499</f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ref="AR500" si="1898">+AL500/AP499</f>
        <v>6.6835892441502399E-4</v>
      </c>
      <c r="AS500" s="25"/>
      <c r="AT500" s="25"/>
      <c r="AU500" s="24"/>
      <c r="AV500" s="298">
        <f t="shared" ref="AV500" si="1899">+AP500/H500</f>
        <v>0.85128198305619029</v>
      </c>
      <c r="AW500" s="298"/>
      <c r="AX500" s="24">
        <f t="shared" ref="AX500" si="1900">+AP500/BW500</f>
        <v>60077.138492871687</v>
      </c>
      <c r="AY500" s="308"/>
      <c r="AZ500" s="111"/>
      <c r="BA500" s="65">
        <f t="shared" ref="BA500" si="1901">+BC500-BC499</f>
        <v>930368</v>
      </c>
      <c r="BB500" s="66"/>
      <c r="BC500" s="66">
        <v>521341856</v>
      </c>
      <c r="BD500" s="66"/>
      <c r="BE500" s="66">
        <f t="shared" ref="BE500" si="1902">+D500</f>
        <v>67485</v>
      </c>
      <c r="BF500" s="66"/>
      <c r="BG500" s="144">
        <f t="shared" ref="BG500" si="1903">+BE500/BA500</f>
        <v>7.2535813785512826E-2</v>
      </c>
      <c r="BH500" s="66"/>
      <c r="BI500" s="170"/>
      <c r="BJ500" s="66"/>
      <c r="BK500" s="66">
        <f t="shared" ref="BK500" si="1904">SUM(BA494:BA500)</f>
        <v>5277054</v>
      </c>
      <c r="BL500" s="66"/>
      <c r="BM500" s="144">
        <f t="shared" ref="BM500" si="1905">+Q500/BK500</f>
        <v>5.8522804579979666E-2</v>
      </c>
      <c r="BN500" s="65">
        <f t="shared" ref="BN500" si="1906">+BC500/BW500</f>
        <v>1061796.0407331975</v>
      </c>
      <c r="BO500" s="66"/>
      <c r="BP500" s="66">
        <f t="shared" ref="BP500" si="1907">+BP499+BE500</f>
        <v>33744143</v>
      </c>
      <c r="BQ500" s="66"/>
      <c r="BR500" s="435">
        <f t="shared" ref="BR500" si="1908">+BP500/BC500</f>
        <v>6.4725558885492598E-2</v>
      </c>
      <c r="BS500" s="66"/>
      <c r="BT500" s="75"/>
      <c r="BU500" s="170"/>
      <c r="BV500" s="1"/>
      <c r="BW500" s="61">
        <f t="shared" si="1183"/>
        <v>491</v>
      </c>
    </row>
    <row r="501" spans="2:75" x14ac:dyDescent="0.3">
      <c r="B501" s="158">
        <f t="shared" si="432"/>
        <v>44401</v>
      </c>
      <c r="C501" s="61"/>
      <c r="D501" s="17">
        <v>36779</v>
      </c>
      <c r="E501" s="16"/>
      <c r="F501" s="16"/>
      <c r="G501" s="16"/>
      <c r="H501" s="16">
        <f t="shared" ref="H501" si="1909">+H500+D501</f>
        <v>34687900</v>
      </c>
      <c r="I501" s="16"/>
      <c r="J501" s="436">
        <f t="shared" ref="J501" si="1910">+D501/H500</f>
        <v>1.061408662651924E-3</v>
      </c>
      <c r="K501" s="16"/>
      <c r="L501" s="16"/>
      <c r="M501" s="16"/>
      <c r="N501" s="16">
        <f t="shared" ref="N501" si="1911">SUM(D495:D501)</f>
        <v>321526</v>
      </c>
      <c r="O501" s="16">
        <f t="shared" ref="O501" si="1912">+H501/BW501</f>
        <v>70503.861788617884</v>
      </c>
      <c r="P501" s="41"/>
      <c r="Q501" s="17">
        <f t="shared" ref="Q501" si="1913">SUM(D495:D501)</f>
        <v>321526</v>
      </c>
      <c r="R501" s="16"/>
      <c r="S501" s="60">
        <f t="shared" ref="S501" si="1914">+(Q501-Q494)/Q494</f>
        <v>0.58291281637234582</v>
      </c>
      <c r="T501" s="16"/>
      <c r="U501" s="41"/>
      <c r="V501" s="10">
        <f t="shared" si="356"/>
        <v>393</v>
      </c>
      <c r="W501" s="34">
        <v>151</v>
      </c>
      <c r="X501" s="33">
        <v>4256</v>
      </c>
      <c r="Y501" s="33"/>
      <c r="Z501" s="33">
        <f t="shared" ref="Z501" si="1915">SUM(W496:W501)</f>
        <v>1753</v>
      </c>
      <c r="AA501" s="33">
        <f t="shared" ref="AA501" si="1916">+AA500+W501</f>
        <v>610710</v>
      </c>
      <c r="AB501" s="33"/>
      <c r="AC501" s="46">
        <f t="shared" ref="AC501" si="1917">+AA501/H501</f>
        <v>1.7605851031627744E-2</v>
      </c>
      <c r="AD501" s="33"/>
      <c r="AE501" s="33">
        <f t="shared" ref="AE501" si="1918">+AA501/BW501</f>
        <v>1241.280487804878</v>
      </c>
      <c r="AF501" s="50"/>
      <c r="AG501" s="33">
        <f t="shared" ref="AG501" si="1919">SUM(W495:W501)</f>
        <v>1835</v>
      </c>
      <c r="AH501" s="33">
        <f t="shared" ref="AH501" si="1920">SUM(D472:D920)</f>
        <v>1119538187.060914</v>
      </c>
      <c r="AI501" s="213">
        <f t="shared" ref="AI501" si="1921">+(AG501-AG494)/AG494</f>
        <v>0.25857338820301784</v>
      </c>
      <c r="AJ501" s="50"/>
      <c r="AK501" s="111"/>
      <c r="AL501" s="23">
        <f t="shared" ref="AL501" si="1922">+AP501-AP500</f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ref="AR501" si="1923">+AL501/AP500</f>
        <v>3.1351410906717855E-4</v>
      </c>
      <c r="AS501" s="25"/>
      <c r="AT501" s="25"/>
      <c r="AU501" s="24"/>
      <c r="AV501" s="298">
        <f t="shared" ref="AV501" si="1924">+AP501/H501</f>
        <v>0.85064598894715449</v>
      </c>
      <c r="AW501" s="298"/>
      <c r="AX501" s="24">
        <f t="shared" ref="AX501" si="1925">+AP501/BW501</f>
        <v>59973.827235772354</v>
      </c>
      <c r="AY501" s="308"/>
      <c r="AZ501" s="111"/>
      <c r="BA501" s="65">
        <f t="shared" ref="BA501" si="1926">+BC501-BC500</f>
        <v>393453</v>
      </c>
      <c r="BB501" s="66"/>
      <c r="BC501" s="66">
        <v>521735309</v>
      </c>
      <c r="BD501" s="66"/>
      <c r="BE501" s="66">
        <f t="shared" ref="BE501" si="1927">+D501</f>
        <v>36779</v>
      </c>
      <c r="BF501" s="66"/>
      <c r="BG501" s="144">
        <f t="shared" ref="BG501" si="1928">+BE501/BA501</f>
        <v>9.3477492864459027E-2</v>
      </c>
      <c r="BH501" s="66"/>
      <c r="BI501" s="170"/>
      <c r="BJ501" s="66"/>
      <c r="BK501" s="66">
        <f t="shared" ref="BK501" si="1929">SUM(BA495:BA501)</f>
        <v>5457647</v>
      </c>
      <c r="BL501" s="66"/>
      <c r="BM501" s="144">
        <f t="shared" ref="BM501" si="1930">+Q501/BK501</f>
        <v>5.8912934456918892E-2</v>
      </c>
      <c r="BN501" s="65">
        <f t="shared" ref="BN501" si="1931">+BC501/BW501</f>
        <v>1060437.6199186991</v>
      </c>
      <c r="BO501" s="66"/>
      <c r="BP501" s="66">
        <f t="shared" ref="BP501" si="1932">+BP500+BE501</f>
        <v>33780922</v>
      </c>
      <c r="BQ501" s="66"/>
      <c r="BR501" s="435">
        <f t="shared" ref="BR501" si="1933">+BP501/BC501</f>
        <v>6.4747241402440717E-2</v>
      </c>
      <c r="BS501" s="66"/>
      <c r="BT501" s="75"/>
      <c r="BU501" s="170"/>
      <c r="BV501" s="1"/>
      <c r="BW501" s="61">
        <f t="shared" si="1183"/>
        <v>492</v>
      </c>
    </row>
    <row r="502" spans="2:75" x14ac:dyDescent="0.3">
      <c r="B502" s="347">
        <f t="shared" si="432"/>
        <v>44402</v>
      </c>
      <c r="C502" s="61"/>
      <c r="D502" s="17">
        <v>13818</v>
      </c>
      <c r="E502" s="16"/>
      <c r="F502" s="16"/>
      <c r="G502" s="16"/>
      <c r="H502" s="16">
        <f t="shared" ref="H502" si="1934">+H501+D502</f>
        <v>34701718</v>
      </c>
      <c r="I502" s="16"/>
      <c r="J502" s="436">
        <f t="shared" ref="J502" si="1935">+D502/H501</f>
        <v>3.9835216314622676E-4</v>
      </c>
      <c r="K502" s="16"/>
      <c r="L502" s="16"/>
      <c r="M502" s="16"/>
      <c r="N502" s="16">
        <f t="shared" ref="N502" si="1936">SUM(D496:D502)</f>
        <v>313066</v>
      </c>
      <c r="O502" s="16">
        <f t="shared" ref="O502" si="1937">+H502/BW502</f>
        <v>70388.880324543614</v>
      </c>
      <c r="P502" s="41"/>
      <c r="Q502" s="17">
        <f t="shared" ref="Q502" si="1938">SUM(D496:D502)</f>
        <v>313066</v>
      </c>
      <c r="R502" s="16"/>
      <c r="S502" s="60">
        <f t="shared" ref="S502" si="1939">+(Q502-Q495)/Q495</f>
        <v>0.43109997760092156</v>
      </c>
      <c r="T502" s="16"/>
      <c r="U502" s="41"/>
      <c r="V502" s="10">
        <f t="shared" si="356"/>
        <v>394</v>
      </c>
      <c r="W502" s="34">
        <v>49</v>
      </c>
      <c r="X502" s="33">
        <v>4256</v>
      </c>
      <c r="Y502" s="33"/>
      <c r="Z502" s="33">
        <f t="shared" ref="Z502" si="1940">SUM(W497:W502)</f>
        <v>1665</v>
      </c>
      <c r="AA502" s="33">
        <f t="shared" ref="AA502" si="1941">+AA501+W502</f>
        <v>610759</v>
      </c>
      <c r="AB502" s="33"/>
      <c r="AC502" s="46">
        <f t="shared" ref="AC502" si="1942">+AA502/H502</f>
        <v>1.7600252529283995E-2</v>
      </c>
      <c r="AD502" s="33"/>
      <c r="AE502" s="33">
        <f t="shared" ref="AE502" si="1943">+AA502/BW502</f>
        <v>1238.8620689655172</v>
      </c>
      <c r="AF502" s="50"/>
      <c r="AG502" s="33">
        <f t="shared" ref="AG502" si="1944">SUM(W496:W502)</f>
        <v>1802</v>
      </c>
      <c r="AH502" s="33">
        <f t="shared" ref="AH502" si="1945">SUM(D473:D921)</f>
        <v>1119522650.060914</v>
      </c>
      <c r="AI502" s="213">
        <f t="shared" ref="AI502" si="1946">+(AG502-AG495)/AG495</f>
        <v>0.19101123595505617</v>
      </c>
      <c r="AJ502" s="50"/>
      <c r="AK502" s="111"/>
      <c r="AL502" s="23">
        <f t="shared" ref="AL502" si="1947">+AP502-AP501</f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ref="AR502" si="1948">+AL502/AP501</f>
        <v>1.6219812416141011E-4</v>
      </c>
      <c r="AS502" s="25"/>
      <c r="AT502" s="25"/>
      <c r="AU502" s="24"/>
      <c r="AV502" s="298">
        <f t="shared" ref="AV502" si="1949">+AP502/H502</f>
        <v>0.85044518545162517</v>
      </c>
      <c r="AW502" s="298"/>
      <c r="AX502" s="24">
        <f t="shared" ref="AX502" si="1950">+AP502/BW502</f>
        <v>59861.884381338743</v>
      </c>
      <c r="AY502" s="308"/>
      <c r="AZ502" s="111"/>
      <c r="BA502" s="65">
        <f t="shared" ref="BA502" si="1951">+BC502-BC501</f>
        <v>1873647</v>
      </c>
      <c r="BB502" s="66"/>
      <c r="BC502" s="66">
        <v>523608956</v>
      </c>
      <c r="BD502" s="66"/>
      <c r="BE502" s="66">
        <f t="shared" ref="BE502" si="1952">+D502</f>
        <v>13818</v>
      </c>
      <c r="BF502" s="66"/>
      <c r="BG502" s="144">
        <f t="shared" ref="BG502" si="1953">+BE502/BA502</f>
        <v>7.3749217435301311E-3</v>
      </c>
      <c r="BH502" s="66"/>
      <c r="BI502" s="170"/>
      <c r="BJ502" s="66"/>
      <c r="BK502" s="66">
        <f t="shared" ref="BK502" si="1954">SUM(BA496:BA502)</f>
        <v>6238420</v>
      </c>
      <c r="BL502" s="66"/>
      <c r="BM502" s="144">
        <f t="shared" ref="BM502" si="1955">+Q502/BK502</f>
        <v>5.0183540063028782E-2</v>
      </c>
      <c r="BN502" s="65">
        <f t="shared" ref="BN502" si="1956">+BC502/BW502</f>
        <v>1062087.1318458419</v>
      </c>
      <c r="BO502" s="66"/>
      <c r="BP502" s="66">
        <f t="shared" ref="BP502" si="1957">+BP501+BE502</f>
        <v>33794740</v>
      </c>
      <c r="BQ502" s="66"/>
      <c r="BR502" s="435">
        <f t="shared" ref="BR502" si="1958">+BP502/BC502</f>
        <v>6.4541944160328685E-2</v>
      </c>
      <c r="BS502" s="66"/>
      <c r="BT502" s="75"/>
      <c r="BU502" s="170"/>
      <c r="BV502" s="1"/>
      <c r="BW502" s="61">
        <f t="shared" si="1183"/>
        <v>493</v>
      </c>
    </row>
    <row r="503" spans="2:75" x14ac:dyDescent="0.3">
      <c r="B503" s="158">
        <f t="shared" si="432"/>
        <v>44403</v>
      </c>
      <c r="C503" s="61"/>
      <c r="D503" s="17">
        <v>35816</v>
      </c>
      <c r="E503" s="16"/>
      <c r="F503" s="16"/>
      <c r="G503" s="16"/>
      <c r="H503" s="16">
        <f t="shared" ref="H503" si="1959">+H502+D503</f>
        <v>34737534</v>
      </c>
      <c r="I503" s="16"/>
      <c r="J503" s="436">
        <f t="shared" ref="J503" si="1960">+D503/H502</f>
        <v>1.0321102834159393E-3</v>
      </c>
      <c r="K503" s="16"/>
      <c r="L503" s="16"/>
      <c r="M503" s="16"/>
      <c r="N503" s="16">
        <f t="shared" ref="N503" si="1961">SUM(D497:D503)</f>
        <v>316306</v>
      </c>
      <c r="O503" s="16">
        <f t="shared" ref="O503" si="1962">+H503/BW503</f>
        <v>70318.894736842107</v>
      </c>
      <c r="P503" s="41"/>
      <c r="Q503" s="17">
        <f t="shared" ref="Q503" si="1963">SUM(D497:D503)</f>
        <v>316306</v>
      </c>
      <c r="R503" s="16"/>
      <c r="S503" s="60">
        <f t="shared" ref="S503" si="1964">+(Q503-Q496)/Q496</f>
        <v>0.36728351034628837</v>
      </c>
      <c r="T503" s="16"/>
      <c r="U503" s="41"/>
      <c r="V503" s="10">
        <f t="shared" si="356"/>
        <v>395</v>
      </c>
      <c r="W503" s="34">
        <v>132</v>
      </c>
      <c r="X503" s="33">
        <v>4256</v>
      </c>
      <c r="Y503" s="33"/>
      <c r="Z503" s="33">
        <f t="shared" ref="Z503" si="1965">SUM(W498:W503)</f>
        <v>1541</v>
      </c>
      <c r="AA503" s="33">
        <f t="shared" ref="AA503" si="1966">+AA502+W503</f>
        <v>610891</v>
      </c>
      <c r="AB503" s="33"/>
      <c r="AC503" s="46">
        <f t="shared" ref="AC503" si="1967">+AA503/H503</f>
        <v>1.7585905781337272E-2</v>
      </c>
      <c r="AD503" s="33"/>
      <c r="AE503" s="33">
        <f t="shared" ref="AE503" si="1968">+AA503/BW503</f>
        <v>1236.6214574898786</v>
      </c>
      <c r="AF503" s="50"/>
      <c r="AG503" s="33">
        <f t="shared" ref="AG503" si="1969">SUM(W497:W503)</f>
        <v>1797</v>
      </c>
      <c r="AH503" s="33">
        <f t="shared" ref="AH503" si="1970">SUM(D474:D922)</f>
        <v>1119516064.060914</v>
      </c>
      <c r="AI503" s="213">
        <f t="shared" ref="AI503" si="1971">+(AG503-AG496)/AG496</f>
        <v>0.20847343644922664</v>
      </c>
      <c r="AJ503" s="50"/>
      <c r="AK503" s="111"/>
      <c r="AL503" s="23">
        <f t="shared" ref="AL503" si="1972">+AP503-AP502</f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ref="AR503" si="1973">+AL503/AP502</f>
        <v>1.2387880431591193E-3</v>
      </c>
      <c r="AS503" s="25"/>
      <c r="AT503" s="25"/>
      <c r="AU503" s="24"/>
      <c r="AV503" s="298">
        <f t="shared" ref="AV503" si="1974">+AP503/H503</f>
        <v>0.85062077233231348</v>
      </c>
      <c r="AW503" s="298"/>
      <c r="AX503" s="24">
        <f t="shared" ref="AX503" si="1975">+AP503/BW503</f>
        <v>59814.712550607284</v>
      </c>
      <c r="AY503" s="308"/>
      <c r="AZ503" s="111"/>
      <c r="BA503" s="65">
        <f t="shared" ref="BA503" si="1976">+BC503-BC502</f>
        <v>2374930</v>
      </c>
      <c r="BB503" s="66"/>
      <c r="BC503" s="66">
        <v>525983886</v>
      </c>
      <c r="BD503" s="66"/>
      <c r="BE503" s="66">
        <f t="shared" ref="BE503" si="1977">+D503</f>
        <v>35816</v>
      </c>
      <c r="BF503" s="66"/>
      <c r="BG503" s="144">
        <f t="shared" ref="BG503" si="1978">+BE503/BA503</f>
        <v>1.5080865541300165E-2</v>
      </c>
      <c r="BH503" s="66"/>
      <c r="BI503" s="170"/>
      <c r="BJ503" s="66"/>
      <c r="BK503" s="66">
        <f t="shared" ref="BK503" si="1979">SUM(BA497:BA503)</f>
        <v>7998724</v>
      </c>
      <c r="BL503" s="66"/>
      <c r="BM503" s="144">
        <f t="shared" ref="BM503" si="1980">+Q503/BK503</f>
        <v>3.9544557356898428E-2</v>
      </c>
      <c r="BN503" s="65">
        <f t="shared" ref="BN503" si="1981">+BC503/BW503</f>
        <v>1064744.7085020242</v>
      </c>
      <c r="BO503" s="66"/>
      <c r="BP503" s="66">
        <f t="shared" ref="BP503" si="1982">+BP502+BE503</f>
        <v>33830556</v>
      </c>
      <c r="BQ503" s="66"/>
      <c r="BR503" s="435">
        <f t="shared" ref="BR503" si="1983">+BP503/BC503</f>
        <v>6.4318616787435196E-2</v>
      </c>
      <c r="BS503" s="66"/>
      <c r="BT503" s="75"/>
      <c r="BU503" s="170"/>
      <c r="BV503" s="1"/>
      <c r="BW503" s="61">
        <f t="shared" si="1183"/>
        <v>494</v>
      </c>
    </row>
    <row r="504" spans="2:75" x14ac:dyDescent="0.3">
      <c r="B504" s="158">
        <f t="shared" si="432"/>
        <v>44404</v>
      </c>
      <c r="C504" s="61"/>
      <c r="D504" s="17">
        <v>61581</v>
      </c>
      <c r="E504" s="16"/>
      <c r="F504" s="16"/>
      <c r="G504" s="16"/>
      <c r="H504" s="16">
        <f t="shared" ref="H504" si="1984">+H503+D504</f>
        <v>34799115</v>
      </c>
      <c r="I504" s="16"/>
      <c r="J504" s="436">
        <f t="shared" ref="J504" si="1985">+D504/H503</f>
        <v>1.7727510536585584E-3</v>
      </c>
      <c r="K504" s="16"/>
      <c r="L504" s="16"/>
      <c r="M504" s="16"/>
      <c r="N504" s="16">
        <f t="shared" ref="N504" si="1986">SUM(D498:D504)</f>
        <v>333655</v>
      </c>
      <c r="O504" s="16">
        <f t="shared" ref="O504" si="1987">+H504/BW504</f>
        <v>70301.242424242431</v>
      </c>
      <c r="P504" s="41"/>
      <c r="Q504" s="17">
        <f t="shared" ref="Q504" si="1988">SUM(D498:D504)</f>
        <v>333655</v>
      </c>
      <c r="R504" s="16"/>
      <c r="S504" s="60">
        <f t="shared" ref="S504" si="1989">+(Q504-Q497)/Q497</f>
        <v>0.41488951178244149</v>
      </c>
      <c r="T504" s="16"/>
      <c r="U504" s="41"/>
      <c r="V504" s="10">
        <f t="shared" si="356"/>
        <v>396</v>
      </c>
      <c r="W504" s="34">
        <v>339</v>
      </c>
      <c r="X504" s="33">
        <v>4256</v>
      </c>
      <c r="Y504" s="33"/>
      <c r="Z504" s="33">
        <f t="shared" ref="Z504" si="1990">SUM(W499:W504)</f>
        <v>1464</v>
      </c>
      <c r="AA504" s="33">
        <f t="shared" ref="AA504" si="1991">+AA503+W504</f>
        <v>611230</v>
      </c>
      <c r="AB504" s="33"/>
      <c r="AC504" s="46">
        <f t="shared" ref="AC504" si="1992">+AA504/H504</f>
        <v>1.7564527143865583E-2</v>
      </c>
      <c r="AD504" s="33"/>
      <c r="AE504" s="33">
        <f t="shared" ref="AE504" si="1993">+AA504/BW504</f>
        <v>1234.8080808080808</v>
      </c>
      <c r="AF504" s="50"/>
      <c r="AG504" s="33">
        <f t="shared" ref="AG504" si="1994">SUM(W498:W504)</f>
        <v>1880</v>
      </c>
      <c r="AH504" s="33">
        <f t="shared" ref="AH504" si="1995">SUM(D475:D923)</f>
        <v>1119508758.060914</v>
      </c>
      <c r="AI504" s="213">
        <f t="shared" ref="AI504" si="1996">+(AG504-AG497)/AG497</f>
        <v>0.19592875318066158</v>
      </c>
      <c r="AJ504" s="50"/>
      <c r="AK504" s="111"/>
      <c r="AL504" s="23">
        <f t="shared" ref="AL504" si="1997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" si="1998">+AL504/AP503</f>
        <v>7.7723149640109934E-4</v>
      </c>
      <c r="AS504" s="25"/>
      <c r="AT504" s="25"/>
      <c r="AU504" s="24"/>
      <c r="AV504" s="298">
        <f t="shared" ref="AV504" si="1999">+AP504/H504</f>
        <v>0.84977546124377012</v>
      </c>
      <c r="AW504" s="298"/>
      <c r="AX504" s="24">
        <f t="shared" ref="AX504" si="2000">+AP504/BW504</f>
        <v>59740.270707070704</v>
      </c>
      <c r="AY504" s="308"/>
      <c r="AZ504" s="111"/>
      <c r="BA504" s="65">
        <f t="shared" ref="BA504:BA505" si="2001">+BC504-BC503</f>
        <v>892346</v>
      </c>
      <c r="BB504" s="66"/>
      <c r="BC504" s="66">
        <v>526876232</v>
      </c>
      <c r="BD504" s="66"/>
      <c r="BE504" s="66">
        <f t="shared" ref="BE504" si="2002">+D504</f>
        <v>61581</v>
      </c>
      <c r="BF504" s="66"/>
      <c r="BG504" s="144">
        <f t="shared" ref="BG504" si="2003">+BE504/BA504</f>
        <v>6.9010226974738492E-2</v>
      </c>
      <c r="BH504" s="66"/>
      <c r="BI504" s="170"/>
      <c r="BJ504" s="66"/>
      <c r="BK504" s="66">
        <f t="shared" ref="BK504" si="2004">SUM(BA498:BA504)</f>
        <v>8218001</v>
      </c>
      <c r="BL504" s="66"/>
      <c r="BM504" s="144">
        <f t="shared" ref="BM504" si="2005">+Q504/BK504</f>
        <v>4.060050613281746E-2</v>
      </c>
      <c r="BN504" s="65">
        <f t="shared" ref="BN504" si="2006">+BC504/BW504</f>
        <v>1064396.4282828283</v>
      </c>
      <c r="BO504" s="66"/>
      <c r="BP504" s="66">
        <f t="shared" ref="BP504" si="2007">+BP503+BE504</f>
        <v>33892137</v>
      </c>
      <c r="BQ504" s="66"/>
      <c r="BR504" s="435">
        <f t="shared" ref="BR504" si="2008">+BP504/BC504</f>
        <v>6.4326562751458483E-2</v>
      </c>
      <c r="BS504" s="66"/>
      <c r="BT504" s="75"/>
      <c r="BU504" s="170"/>
      <c r="BV504" s="1"/>
      <c r="BW504" s="61">
        <f t="shared" si="1183"/>
        <v>495</v>
      </c>
    </row>
    <row r="505" spans="2:75" x14ac:dyDescent="0.3">
      <c r="B505" s="158">
        <f t="shared" si="432"/>
        <v>44405</v>
      </c>
      <c r="C505" s="61"/>
      <c r="D505" s="17">
        <v>84534</v>
      </c>
      <c r="E505" s="16"/>
      <c r="F505" s="16"/>
      <c r="G505" s="16"/>
      <c r="H505" s="16">
        <f t="shared" ref="H505" si="2009">+H504+D505</f>
        <v>34883649</v>
      </c>
      <c r="I505" s="16"/>
      <c r="J505" s="436">
        <f t="shared" ref="J505" si="2010">+D505/H504</f>
        <v>2.4291997080960249E-3</v>
      </c>
      <c r="K505" s="16"/>
      <c r="L505" s="16"/>
      <c r="M505" s="16"/>
      <c r="N505" s="16">
        <f t="shared" ref="N505" si="2011">SUM(D499:D505)</f>
        <v>361664</v>
      </c>
      <c r="O505" s="16">
        <f t="shared" ref="O505" si="2012">+H505/BW505</f>
        <v>70329.9375</v>
      </c>
      <c r="P505" s="41"/>
      <c r="Q505" s="17">
        <f t="shared" ref="Q505" si="2013">SUM(D499:D505)</f>
        <v>361664</v>
      </c>
      <c r="R505" s="16"/>
      <c r="S505" s="60">
        <f t="shared" ref="S505" si="2014">+(Q505-Q498)/Q498</f>
        <v>0.40782810097510658</v>
      </c>
      <c r="T505" s="16"/>
      <c r="U505" s="41"/>
      <c r="V505" s="10">
        <f t="shared" si="356"/>
        <v>397</v>
      </c>
      <c r="W505" s="34">
        <v>483</v>
      </c>
      <c r="X505" s="33">
        <v>4256</v>
      </c>
      <c r="Y505" s="33"/>
      <c r="Z505" s="33">
        <f t="shared" ref="Z505" si="2015">SUM(W500:W505)</f>
        <v>1582</v>
      </c>
      <c r="AA505" s="33">
        <f t="shared" ref="AA505" si="2016">+AA504+W505</f>
        <v>611713</v>
      </c>
      <c r="AB505" s="33"/>
      <c r="AC505" s="46">
        <f t="shared" ref="AC505" si="2017">+AA505/H505</f>
        <v>1.7535808825504463E-2</v>
      </c>
      <c r="AD505" s="33"/>
      <c r="AE505" s="33">
        <f t="shared" ref="AE505" si="2018">+AA505/BW505</f>
        <v>1233.2923387096773</v>
      </c>
      <c r="AF505" s="50"/>
      <c r="AG505" s="33">
        <f t="shared" ref="AG505" si="2019">SUM(W499:W505)</f>
        <v>1947</v>
      </c>
      <c r="AH505" s="33">
        <f t="shared" ref="AH505" si="2020">SUM(D476:D924)</f>
        <v>1119496776.060914</v>
      </c>
      <c r="AI505" s="213">
        <f t="shared" ref="AI505" si="2021">+(AG505-AG498)/AG498</f>
        <v>0.18647166361974407</v>
      </c>
      <c r="AJ505" s="50"/>
      <c r="AK505" s="111"/>
      <c r="AL505" s="23">
        <f t="shared" ref="AL505" si="2022">+AP505-AP504</f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ref="AR505" si="2023">+AL505/AP504</f>
        <v>1.0998452087240679E-3</v>
      </c>
      <c r="AS505" s="25"/>
      <c r="AT505" s="25"/>
      <c r="AU505" s="24"/>
      <c r="AV505" s="298">
        <f t="shared" ref="AV505" si="2024">+AP505/H505</f>
        <v>0.84864854591330163</v>
      </c>
      <c r="AW505" s="298"/>
      <c r="AX505" s="24">
        <f t="shared" ref="AX505" si="2025">+AP505/BW505</f>
        <v>59685.399193548386</v>
      </c>
      <c r="AY505" s="308"/>
      <c r="AZ505" s="111"/>
      <c r="BA505" s="65">
        <f t="shared" si="2001"/>
        <v>204920</v>
      </c>
      <c r="BB505" s="66"/>
      <c r="BC505" s="66">
        <v>527081152</v>
      </c>
      <c r="BD505" s="66"/>
      <c r="BE505" s="66">
        <f t="shared" ref="BE505" si="2026">+D505</f>
        <v>84534</v>
      </c>
      <c r="BF505" s="66"/>
      <c r="BG505" s="144">
        <f t="shared" ref="BG505" si="2027">+BE505/BA505</f>
        <v>0.41252195978918604</v>
      </c>
      <c r="BH505" s="66"/>
      <c r="BI505" s="170"/>
      <c r="BJ505" s="66"/>
      <c r="BK505" s="66">
        <f t="shared" ref="BK505" si="2028">SUM(BA499:BA505)</f>
        <v>7600901</v>
      </c>
      <c r="BL505" s="66"/>
      <c r="BM505" s="144">
        <f t="shared" ref="BM505" si="2029">+Q505/BK505</f>
        <v>4.7581727482044561E-2</v>
      </c>
      <c r="BN505" s="65">
        <f t="shared" ref="BN505" si="2030">+BC505/BW505</f>
        <v>1062663.6129032257</v>
      </c>
      <c r="BO505" s="66"/>
      <c r="BP505" s="66">
        <f t="shared" ref="BP505" si="2031">+BP504+BE505</f>
        <v>33976671</v>
      </c>
      <c r="BQ505" s="66"/>
      <c r="BR505" s="435">
        <f t="shared" ref="BR505" si="2032">+BP505/BC505</f>
        <v>6.4461935075986174E-2</v>
      </c>
      <c r="BS505" s="66"/>
      <c r="BT505" s="75"/>
      <c r="BU505" s="170"/>
      <c r="BV505" s="1"/>
      <c r="BW505" s="61">
        <f t="shared" si="1183"/>
        <v>496</v>
      </c>
    </row>
    <row r="506" spans="2:75" x14ac:dyDescent="0.3">
      <c r="B506" s="158">
        <f t="shared" si="432"/>
        <v>44406</v>
      </c>
      <c r="C506" s="61"/>
      <c r="D506" s="17">
        <v>84513</v>
      </c>
      <c r="E506" s="16"/>
      <c r="F506" s="16"/>
      <c r="G506" s="16"/>
      <c r="H506" s="16">
        <f t="shared" ref="H506" si="2033">+H505+D506</f>
        <v>34968162</v>
      </c>
      <c r="I506" s="16"/>
      <c r="J506" s="436">
        <f t="shared" ref="J506" si="2034">+D506/H505</f>
        <v>2.422710995630073E-3</v>
      </c>
      <c r="K506" s="16"/>
      <c r="L506" s="16"/>
      <c r="M506" s="16"/>
      <c r="N506" s="16">
        <f t="shared" ref="N506" si="2035">SUM(D500:D506)</f>
        <v>384526</v>
      </c>
      <c r="O506" s="16">
        <f t="shared" ref="O506" si="2036">+H506/BW506</f>
        <v>70358.474849094564</v>
      </c>
      <c r="P506" s="41"/>
      <c r="Q506" s="17">
        <f t="shared" ref="Q506" si="2037">SUM(D500:D506)</f>
        <v>384526</v>
      </c>
      <c r="R506" s="16"/>
      <c r="S506" s="60">
        <f t="shared" ref="S506" si="2038">+(Q506-Q499)/Q499</f>
        <v>0.36418658114321395</v>
      </c>
      <c r="T506" s="16"/>
      <c r="U506" s="41"/>
      <c r="V506" s="10">
        <f t="shared" si="356"/>
        <v>398</v>
      </c>
      <c r="W506" s="34">
        <v>485</v>
      </c>
      <c r="X506" s="33">
        <v>4256</v>
      </c>
      <c r="Y506" s="33"/>
      <c r="Z506" s="33">
        <f t="shared" ref="Z506" si="2039">SUM(W501:W506)</f>
        <v>1639</v>
      </c>
      <c r="AA506" s="33">
        <f t="shared" ref="AA506" si="2040">+AA505+W506</f>
        <v>612198</v>
      </c>
      <c r="AB506" s="33"/>
      <c r="AC506" s="46">
        <f t="shared" ref="AC506" si="2041">+AA506/H506</f>
        <v>1.7507297066400002E-2</v>
      </c>
      <c r="AD506" s="33"/>
      <c r="AE506" s="33">
        <f t="shared" ref="AE506" si="2042">+AA506/BW506</f>
        <v>1231.7867203219316</v>
      </c>
      <c r="AF506" s="50"/>
      <c r="AG506" s="33">
        <f t="shared" ref="AG506" si="2043">SUM(W500:W506)</f>
        <v>2067</v>
      </c>
      <c r="AH506" s="33">
        <f t="shared" ref="AH506" si="2044">SUM(D477:D925)</f>
        <v>1119485349.060914</v>
      </c>
      <c r="AI506" s="213">
        <f t="shared" ref="AI506" si="2045">+(AG506-AG499)/AG499</f>
        <v>0.24368231046931407</v>
      </c>
      <c r="AJ506" s="50"/>
      <c r="AK506" s="111" t="s">
        <v>26</v>
      </c>
      <c r="AL506" s="23">
        <f t="shared" ref="AL506" si="2046">+AP506-AP505</f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ref="AR506" si="2047">+AL506/AP505</f>
        <v>1.5552650088207799E-3</v>
      </c>
      <c r="AS506" s="25"/>
      <c r="AT506" s="25"/>
      <c r="AU506" s="24"/>
      <c r="AV506" s="298">
        <f t="shared" ref="AV506" si="2048">+AP506/H506</f>
        <v>0.84791416832260158</v>
      </c>
      <c r="AW506" s="298"/>
      <c r="AX506" s="24">
        <f t="shared" ref="AX506" si="2049">+AP506/BW506</f>
        <v>59657.947686116699</v>
      </c>
      <c r="AY506" s="308"/>
      <c r="AZ506" s="111" t="s">
        <v>26</v>
      </c>
      <c r="BA506" s="65">
        <f t="shared" ref="BA506" si="2050">+BC506-BC505</f>
        <v>218848</v>
      </c>
      <c r="BB506" s="66"/>
      <c r="BC506" s="66">
        <v>527300000</v>
      </c>
      <c r="BD506" s="66"/>
      <c r="BE506" s="66">
        <f t="shared" ref="BE506" si="2051">+D506</f>
        <v>84513</v>
      </c>
      <c r="BF506" s="66"/>
      <c r="BG506" s="144">
        <f t="shared" ref="BG506" si="2052">+BE506/BA506</f>
        <v>0.38617213773943559</v>
      </c>
      <c r="BH506" s="66"/>
      <c r="BI506" s="170"/>
      <c r="BJ506" s="66"/>
      <c r="BK506" s="66">
        <f t="shared" ref="BK506" si="2053">SUM(BA500:BA506)</f>
        <v>6888512</v>
      </c>
      <c r="BL506" s="66"/>
      <c r="BM506" s="144">
        <f t="shared" ref="BM506" si="2054">+Q506/BK506</f>
        <v>5.5821344290319881E-2</v>
      </c>
      <c r="BN506" s="65">
        <f t="shared" ref="BN506" si="2055">+BC506/BW506</f>
        <v>1060965.7947686117</v>
      </c>
      <c r="BO506" s="66"/>
      <c r="BP506" s="66">
        <f t="shared" ref="BP506" si="2056">+BP505+BE506</f>
        <v>34061184</v>
      </c>
      <c r="BQ506" s="66"/>
      <c r="BR506" s="435">
        <f t="shared" ref="BR506" si="2057">+BP506/BC506</f>
        <v>6.4595456097098422E-2</v>
      </c>
      <c r="BS506" s="66"/>
      <c r="BT506" s="75"/>
      <c r="BU506" s="170"/>
      <c r="BV506" s="1"/>
      <c r="BW506" s="61">
        <f t="shared" si="1183"/>
        <v>497</v>
      </c>
    </row>
    <row r="507" spans="2:75" x14ac:dyDescent="0.3">
      <c r="B507" s="158">
        <f t="shared" si="432"/>
        <v>44407</v>
      </c>
      <c r="C507" s="61"/>
      <c r="D507" s="17">
        <v>101098</v>
      </c>
      <c r="E507" s="16"/>
      <c r="F507" s="16"/>
      <c r="G507" s="16"/>
      <c r="H507" s="16">
        <f t="shared" ref="H507" si="2058">+H506+D507</f>
        <v>35069260</v>
      </c>
      <c r="I507" s="16"/>
      <c r="J507" s="436">
        <f t="shared" ref="J507" si="2059">+D507/H506</f>
        <v>2.8911442357193382E-3</v>
      </c>
      <c r="K507" s="16"/>
      <c r="L507" s="16"/>
      <c r="M507" s="16"/>
      <c r="N507" s="16">
        <f t="shared" ref="N507" si="2060">SUM(D501:D507)</f>
        <v>418139</v>
      </c>
      <c r="O507" s="16">
        <f t="shared" ref="O507" si="2061">+H507/BW507</f>
        <v>70420.200803212851</v>
      </c>
      <c r="P507" s="41"/>
      <c r="Q507" s="17">
        <f t="shared" ref="Q507" si="2062">SUM(D501:D507)</f>
        <v>418139</v>
      </c>
      <c r="R507" s="16"/>
      <c r="S507" s="60">
        <f t="shared" ref="S507" si="2063">+(Q507-Q500)/Q500</f>
        <v>0.35395430466149441</v>
      </c>
      <c r="T507" s="16"/>
      <c r="U507" s="41"/>
      <c r="V507" s="10">
        <f t="shared" si="356"/>
        <v>399</v>
      </c>
      <c r="W507" s="34">
        <v>429</v>
      </c>
      <c r="X507" s="33">
        <v>4256</v>
      </c>
      <c r="Y507" s="33"/>
      <c r="Z507" s="33">
        <f t="shared" ref="Z507" si="2064">SUM(W502:W507)</f>
        <v>1917</v>
      </c>
      <c r="AA507" s="33">
        <f t="shared" ref="AA507" si="2065">+AA506+W507</f>
        <v>612627</v>
      </c>
      <c r="AB507" s="33"/>
      <c r="AC507" s="46">
        <f t="shared" ref="AC507" si="2066">+AA507/H507</f>
        <v>1.7469059797668957E-2</v>
      </c>
      <c r="AD507" s="33"/>
      <c r="AE507" s="33">
        <f t="shared" ref="AE507" si="2067">+AA507/BW507</f>
        <v>1230.1746987951808</v>
      </c>
      <c r="AF507" s="50"/>
      <c r="AG507" s="33">
        <f t="shared" ref="AG507" si="2068">SUM(W501:W507)</f>
        <v>2068</v>
      </c>
      <c r="AH507" s="33">
        <f t="shared" ref="AH507" si="2069">SUM(D478:D926)</f>
        <v>1119471152.060914</v>
      </c>
      <c r="AI507" s="213">
        <f t="shared" ref="AI507" si="2070">+(AG507-AG500)/AG500</f>
        <v>0.15080690038953812</v>
      </c>
      <c r="AJ507" s="50"/>
      <c r="AK507" s="111" t="s">
        <v>26</v>
      </c>
      <c r="AL507" s="23">
        <f t="shared" ref="AL507" si="2071">+AP507-AP506</f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ref="AR507" si="2072">+AL507/AP506</f>
        <v>6.8735244519392918E-5</v>
      </c>
      <c r="AS507" s="25"/>
      <c r="AT507" s="25"/>
      <c r="AU507" s="24"/>
      <c r="AV507" s="298">
        <f t="shared" ref="AV507" si="2073">+AP507/H507</f>
        <v>0.84552790677647605</v>
      </c>
      <c r="AW507" s="298"/>
      <c r="AX507" s="24">
        <f t="shared" ref="AX507" si="2074">+AP507/BW507</f>
        <v>59542.244979919677</v>
      </c>
      <c r="AY507" s="308"/>
      <c r="AZ507" s="111" t="s">
        <v>26</v>
      </c>
      <c r="BA507" s="65">
        <f t="shared" ref="BA507" si="2075">+BC507-BC506</f>
        <v>1878910</v>
      </c>
      <c r="BB507" s="66"/>
      <c r="BC507" s="66">
        <v>529178910</v>
      </c>
      <c r="BD507" s="66"/>
      <c r="BE507" s="66">
        <f t="shared" ref="BE507" si="2076">+D507</f>
        <v>101098</v>
      </c>
      <c r="BF507" s="66"/>
      <c r="BG507" s="144">
        <f t="shared" ref="BG507" si="2077">+BE507/BA507</f>
        <v>5.3806728369107618E-2</v>
      </c>
      <c r="BH507" s="66"/>
      <c r="BI507" s="170"/>
      <c r="BJ507" s="66"/>
      <c r="BK507" s="66">
        <f t="shared" ref="BK507" si="2078">SUM(BA501:BA507)</f>
        <v>7837054</v>
      </c>
      <c r="BL507" s="66"/>
      <c r="BM507" s="144">
        <f t="shared" ref="BM507" si="2079">+Q507/BK507</f>
        <v>5.3354104743950977E-2</v>
      </c>
      <c r="BN507" s="65">
        <f t="shared" ref="BN507" si="2080">+BC507/BW507</f>
        <v>1062608.2530120481</v>
      </c>
      <c r="BO507" s="66"/>
      <c r="BP507" s="66">
        <f t="shared" ref="BP507" si="2081">+BP506+BE507</f>
        <v>34162282</v>
      </c>
      <c r="BQ507" s="66"/>
      <c r="BR507" s="435">
        <f t="shared" ref="BR507" si="2082">+BP507/BC507</f>
        <v>6.4557149490330215E-2</v>
      </c>
      <c r="BS507" s="66"/>
      <c r="BT507" s="75"/>
      <c r="BU507" s="170"/>
      <c r="BV507" s="1"/>
      <c r="BW507" s="61">
        <f t="shared" si="1183"/>
        <v>498</v>
      </c>
    </row>
    <row r="508" spans="2:75" x14ac:dyDescent="0.3">
      <c r="B508" s="158">
        <f t="shared" si="432"/>
        <v>44408</v>
      </c>
      <c r="C508" s="61"/>
      <c r="D508" s="17">
        <v>51898</v>
      </c>
      <c r="E508" s="16"/>
      <c r="F508" s="16"/>
      <c r="G508" s="16"/>
      <c r="H508" s="16">
        <f t="shared" ref="H508" si="2083">+H507+D508</f>
        <v>35121158</v>
      </c>
      <c r="I508" s="16"/>
      <c r="J508" s="436">
        <f t="shared" ref="J508" si="2084">+D508/H507</f>
        <v>1.4798715456214361E-3</v>
      </c>
      <c r="K508" s="16"/>
      <c r="L508" s="16"/>
      <c r="M508" s="16"/>
      <c r="N508" s="16">
        <f t="shared" ref="N508" si="2085">SUM(D502:D508)</f>
        <v>433258</v>
      </c>
      <c r="O508" s="16">
        <f t="shared" ref="O508" si="2086">+H508/BW508</f>
        <v>70383.082164328662</v>
      </c>
      <c r="P508" s="41"/>
      <c r="Q508" s="17">
        <f t="shared" ref="Q508" si="2087">SUM(D502:D508)</f>
        <v>433258</v>
      </c>
      <c r="R508" s="16"/>
      <c r="S508" s="60">
        <f t="shared" ref="S508" si="2088">+(Q508-Q501)/Q501</f>
        <v>0.34750533393877947</v>
      </c>
      <c r="T508" s="16"/>
      <c r="U508" s="41"/>
      <c r="V508" s="10">
        <f t="shared" si="356"/>
        <v>400</v>
      </c>
      <c r="W508" s="34">
        <v>241</v>
      </c>
      <c r="X508" s="33">
        <v>4256</v>
      </c>
      <c r="Y508" s="33"/>
      <c r="Z508" s="33">
        <f t="shared" ref="Z508" si="2089">SUM(W503:W508)</f>
        <v>2109</v>
      </c>
      <c r="AA508" s="33">
        <f t="shared" ref="AA508" si="2090">+AA507+W508</f>
        <v>612868</v>
      </c>
      <c r="AB508" s="33"/>
      <c r="AC508" s="46">
        <f t="shared" ref="AC508" si="2091">+AA508/H508</f>
        <v>1.7450107994730697E-2</v>
      </c>
      <c r="AD508" s="33"/>
      <c r="AE508" s="33">
        <f t="shared" ref="AE508" si="2092">+AA508/BW508</f>
        <v>1228.1923847695391</v>
      </c>
      <c r="AF508" s="50"/>
      <c r="AG508" s="33">
        <f t="shared" ref="AG508" si="2093">SUM(W502:W508)</f>
        <v>2158</v>
      </c>
      <c r="AH508" s="33">
        <f t="shared" ref="AH508" si="2094">SUM(D479:D927)</f>
        <v>1119454203.060914</v>
      </c>
      <c r="AI508" s="213">
        <f t="shared" ref="AI508" si="2095">+(AG508-AG501)/AG501</f>
        <v>0.17602179836512261</v>
      </c>
      <c r="AJ508" s="50"/>
      <c r="AK508" s="111"/>
      <c r="AL508" s="23">
        <f t="shared" ref="AL508" si="2096">+AP508-AP507</f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ref="AR508" si="2097">+AL508/AP507</f>
        <v>4.7480716165276734E-4</v>
      </c>
      <c r="AS508" s="25"/>
      <c r="AT508" s="25"/>
      <c r="AU508" s="24"/>
      <c r="AV508" s="298">
        <f t="shared" ref="AV508" si="2098">+AP508/H508</f>
        <v>0.84467935254298843</v>
      </c>
      <c r="AW508" s="298"/>
      <c r="AX508" s="24">
        <f t="shared" ref="AX508" si="2099">+AP508/BW508</f>
        <v>59451.136272545089</v>
      </c>
      <c r="AY508" s="308"/>
      <c r="AZ508" s="111"/>
      <c r="BA508" s="65">
        <f t="shared" ref="BA508" si="2100">+BC508-BC507</f>
        <v>500910</v>
      </c>
      <c r="BB508" s="66"/>
      <c r="BC508" s="66">
        <v>529679820</v>
      </c>
      <c r="BD508" s="66"/>
      <c r="BE508" s="66">
        <f t="shared" ref="BE508" si="2101">+D508</f>
        <v>51898</v>
      </c>
      <c r="BF508" s="66"/>
      <c r="BG508" s="144">
        <f t="shared" ref="BG508" si="2102">+BE508/BA508</f>
        <v>0.10360743446926593</v>
      </c>
      <c r="BH508" s="66"/>
      <c r="BI508" s="170"/>
      <c r="BJ508" s="66"/>
      <c r="BK508" s="66">
        <f t="shared" ref="BK508" si="2103">SUM(BA502:BA508)</f>
        <v>7944511</v>
      </c>
      <c r="BL508" s="66"/>
      <c r="BM508" s="144">
        <f t="shared" ref="BM508" si="2104">+Q508/BK508</f>
        <v>5.4535515150019934E-2</v>
      </c>
      <c r="BN508" s="65">
        <f t="shared" ref="BN508" si="2105">+BC508/BW508</f>
        <v>1061482.6052104209</v>
      </c>
      <c r="BO508" s="66"/>
      <c r="BP508" s="66">
        <f t="shared" ref="BP508" si="2106">+BP507+BE508</f>
        <v>34214180</v>
      </c>
      <c r="BQ508" s="66"/>
      <c r="BR508" s="435">
        <f t="shared" ref="BR508" si="2107">+BP508/BC508</f>
        <v>6.4594078739869679E-2</v>
      </c>
      <c r="BS508" s="66"/>
      <c r="BT508" s="75"/>
      <c r="BU508" s="170"/>
      <c r="BV508" s="1"/>
      <c r="BW508" s="61">
        <f t="shared" si="1183"/>
        <v>499</v>
      </c>
    </row>
    <row r="509" spans="2:75" x14ac:dyDescent="0.3">
      <c r="B509" s="347">
        <f t="shared" si="432"/>
        <v>44409</v>
      </c>
      <c r="C509" s="61"/>
      <c r="D509" s="17">
        <v>21768</v>
      </c>
      <c r="E509" s="16"/>
      <c r="F509" s="16"/>
      <c r="G509" s="16"/>
      <c r="H509" s="16">
        <f t="shared" ref="H509" si="2108">+H508+D509</f>
        <v>35142926</v>
      </c>
      <c r="I509" s="16"/>
      <c r="J509" s="436">
        <f t="shared" ref="J509" si="2109">+D509/H508</f>
        <v>6.1979733128389447E-4</v>
      </c>
      <c r="K509" s="16"/>
      <c r="L509" s="16"/>
      <c r="M509" s="16"/>
      <c r="N509" s="16">
        <f t="shared" ref="N509" si="2110">SUM(D503:D509)</f>
        <v>441208</v>
      </c>
      <c r="O509" s="16">
        <f t="shared" ref="O509" si="2111">+H509/BW509</f>
        <v>70285.851999999999</v>
      </c>
      <c r="P509" s="41"/>
      <c r="Q509" s="17">
        <f t="shared" ref="Q509" si="2112">SUM(D503:D509)</f>
        <v>441208</v>
      </c>
      <c r="R509" s="16"/>
      <c r="S509" s="60">
        <f t="shared" ref="S509" si="2113">+(Q509-Q502)/Q502</f>
        <v>0.40931305219985564</v>
      </c>
      <c r="T509" s="16"/>
      <c r="U509" s="41"/>
      <c r="V509" s="10">
        <f t="shared" si="356"/>
        <v>401</v>
      </c>
      <c r="W509" s="34">
        <v>64</v>
      </c>
      <c r="X509" s="33">
        <v>4256</v>
      </c>
      <c r="Y509" s="33"/>
      <c r="Z509" s="33">
        <f t="shared" ref="Z509" si="2114">SUM(W504:W509)</f>
        <v>2041</v>
      </c>
      <c r="AA509" s="33">
        <f t="shared" ref="AA509" si="2115">+AA508+W509</f>
        <v>612932</v>
      </c>
      <c r="AB509" s="33"/>
      <c r="AC509" s="46">
        <f t="shared" ref="AC509" si="2116">+AA509/H509</f>
        <v>1.7441120298292749E-2</v>
      </c>
      <c r="AD509" s="33"/>
      <c r="AE509" s="33">
        <f t="shared" ref="AE509" si="2117">+AA509/BW509</f>
        <v>1225.864</v>
      </c>
      <c r="AF509" s="50"/>
      <c r="AG509" s="33">
        <f t="shared" ref="AG509" si="2118">SUM(W503:W509)</f>
        <v>2173</v>
      </c>
      <c r="AH509" s="33">
        <f t="shared" ref="AH509" si="2119">SUM(D480:D928)</f>
        <v>1119435804.060914</v>
      </c>
      <c r="AI509" s="213">
        <f t="shared" ref="AI509" si="2120">+(AG509-AG502)/AG502</f>
        <v>0.20588235294117646</v>
      </c>
      <c r="AJ509" s="50"/>
      <c r="AK509" s="111"/>
      <c r="AL509" s="23">
        <f t="shared" ref="AL509" si="2121">+AP509-AP508</f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ref="AR509" si="2122">+AL509/AP508</f>
        <v>2.4179099677925492E-4</v>
      </c>
      <c r="AS509" s="25"/>
      <c r="AT509" s="25"/>
      <c r="AU509" s="24"/>
      <c r="AV509" s="298">
        <f t="shared" ref="AV509" si="2123">+AP509/H509</f>
        <v>0.84436025617218102</v>
      </c>
      <c r="AW509" s="298"/>
      <c r="AX509" s="24">
        <f t="shared" ref="AX509" si="2124">+AP509/BW509</f>
        <v>59346.58</v>
      </c>
      <c r="AY509" s="308"/>
      <c r="AZ509" s="111"/>
      <c r="BA509" s="65">
        <f t="shared" ref="BA509" si="2125">+BC509-BC508</f>
        <v>238229</v>
      </c>
      <c r="BB509" s="66"/>
      <c r="BC509" s="66">
        <v>529918049</v>
      </c>
      <c r="BD509" s="66"/>
      <c r="BE509" s="66">
        <f t="shared" ref="BE509" si="2126">+D509</f>
        <v>21768</v>
      </c>
      <c r="BF509" s="66"/>
      <c r="BG509" s="144">
        <f t="shared" ref="BG509" si="2127">+BE509/BA509</f>
        <v>9.1374265937396365E-2</v>
      </c>
      <c r="BH509" s="66"/>
      <c r="BI509" s="170"/>
      <c r="BJ509" s="66"/>
      <c r="BK509" s="66">
        <f t="shared" ref="BK509" si="2128">SUM(BA503:BA509)</f>
        <v>6309093</v>
      </c>
      <c r="BL509" s="66"/>
      <c r="BM509" s="144">
        <f t="shared" ref="BM509" si="2129">+Q509/BK509</f>
        <v>6.9932080570059757E-2</v>
      </c>
      <c r="BN509" s="65">
        <f t="shared" ref="BN509" si="2130">+BC509/BW509</f>
        <v>1059836.098</v>
      </c>
      <c r="BO509" s="66"/>
      <c r="BP509" s="66">
        <f t="shared" ref="BP509" si="2131">+BP508+BE509</f>
        <v>34235948</v>
      </c>
      <c r="BQ509" s="66"/>
      <c r="BR509" s="435">
        <f t="shared" ref="BR509" si="2132">+BP509/BC509</f>
        <v>6.4606117992406786E-2</v>
      </c>
      <c r="BS509" s="66"/>
      <c r="BT509" s="75"/>
      <c r="BU509" s="170"/>
      <c r="BV509" s="1"/>
      <c r="BW509" s="61">
        <f t="shared" si="1183"/>
        <v>500</v>
      </c>
    </row>
    <row r="510" spans="2:75" x14ac:dyDescent="0.3">
      <c r="B510" s="158">
        <f t="shared" si="432"/>
        <v>44410</v>
      </c>
      <c r="C510" s="61"/>
      <c r="D510" s="17">
        <v>56369</v>
      </c>
      <c r="E510" s="16"/>
      <c r="F510" s="16"/>
      <c r="G510" s="16"/>
      <c r="H510" s="16">
        <f t="shared" ref="H510" si="2133">+H509+D510</f>
        <v>35199295</v>
      </c>
      <c r="I510" s="16"/>
      <c r="J510" s="436">
        <f t="shared" ref="J510" si="2134">+D510/H509</f>
        <v>1.6039927921767242E-3</v>
      </c>
      <c r="K510" s="16"/>
      <c r="L510" s="16"/>
      <c r="M510" s="16"/>
      <c r="N510" s="16">
        <f t="shared" ref="N510" si="2135">SUM(D504:D510)</f>
        <v>461761</v>
      </c>
      <c r="O510" s="16">
        <f t="shared" ref="O510" si="2136">+H510/BW510</f>
        <v>70258.073852295405</v>
      </c>
      <c r="P510" s="41"/>
      <c r="Q510" s="17">
        <f t="shared" ref="Q510" si="2137">SUM(D504:D510)</f>
        <v>461761</v>
      </c>
      <c r="R510" s="16"/>
      <c r="S510" s="60">
        <f t="shared" ref="S510" si="2138">+(Q510-Q503)/Q503</f>
        <v>0.45985532996528677</v>
      </c>
      <c r="T510" s="16"/>
      <c r="U510" s="41"/>
      <c r="V510" s="10">
        <f t="shared" si="356"/>
        <v>402</v>
      </c>
      <c r="W510" s="34">
        <v>213</v>
      </c>
      <c r="X510" s="33">
        <v>4256</v>
      </c>
      <c r="Y510" s="33"/>
      <c r="Z510" s="33">
        <f t="shared" ref="Z510" si="2139">SUM(W505:W510)</f>
        <v>1915</v>
      </c>
      <c r="AA510" s="33">
        <f t="shared" ref="AA510" si="2140">+AA509+W510</f>
        <v>613145</v>
      </c>
      <c r="AB510" s="33"/>
      <c r="AC510" s="46">
        <f t="shared" ref="AC510" si="2141">+AA510/H510</f>
        <v>1.7419240925137847E-2</v>
      </c>
      <c r="AD510" s="33"/>
      <c r="AE510" s="33">
        <f t="shared" ref="AE510" si="2142">+AA510/BW510</f>
        <v>1223.8423153692615</v>
      </c>
      <c r="AF510" s="50"/>
      <c r="AG510" s="33">
        <f t="shared" ref="AG510" si="2143">SUM(W504:W510)</f>
        <v>2254</v>
      </c>
      <c r="AH510" s="33">
        <f t="shared" ref="AH510" si="2144">SUM(D481:D929)</f>
        <v>1119427826.060914</v>
      </c>
      <c r="AI510" s="213">
        <f t="shared" ref="AI510" si="2145">+(AG510-AG503)/AG503</f>
        <v>0.25431274346132443</v>
      </c>
      <c r="AJ510" s="50"/>
      <c r="AK510" s="111"/>
      <c r="AL510" s="23">
        <f t="shared" ref="AL510" si="2146">+AP510-AP509</f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ref="AR510" si="2147">+AL510/AP509</f>
        <v>1.4911390007646607E-3</v>
      </c>
      <c r="AS510" s="25"/>
      <c r="AT510" s="25"/>
      <c r="AU510" s="24"/>
      <c r="AV510" s="298">
        <f t="shared" ref="AV510" si="2148">+AP510/H510</f>
        <v>0.84426511951446759</v>
      </c>
      <c r="AW510" s="298"/>
      <c r="AX510" s="24">
        <f t="shared" ref="AX510" si="2149">+AP510/BW510</f>
        <v>59316.441117764472</v>
      </c>
      <c r="AY510" s="308"/>
      <c r="AZ510" s="111"/>
      <c r="BA510" s="65">
        <f t="shared" ref="BA510" si="2150">+BC510-BC509</f>
        <v>2223019</v>
      </c>
      <c r="BB510" s="66"/>
      <c r="BC510" s="66">
        <v>532141068</v>
      </c>
      <c r="BD510" s="66"/>
      <c r="BE510" s="66">
        <f t="shared" ref="BE510" si="2151">+D510</f>
        <v>56369</v>
      </c>
      <c r="BF510" s="66"/>
      <c r="BG510" s="144">
        <f t="shared" ref="BG510" si="2152">+BE510/BA510</f>
        <v>2.5356958262614939E-2</v>
      </c>
      <c r="BH510" s="66"/>
      <c r="BI510" s="170"/>
      <c r="BJ510" s="66"/>
      <c r="BK510" s="66">
        <f t="shared" ref="BK510" si="2153">SUM(BA504:BA510)</f>
        <v>6157182</v>
      </c>
      <c r="BL510" s="66"/>
      <c r="BM510" s="144">
        <f t="shared" ref="BM510" si="2154">+Q510/BK510</f>
        <v>7.4995509309291164E-2</v>
      </c>
      <c r="BN510" s="65">
        <f t="shared" ref="BN510" si="2155">+BC510/BW510</f>
        <v>1062157.8203592815</v>
      </c>
      <c r="BO510" s="66"/>
      <c r="BP510" s="66">
        <f t="shared" ref="BP510" si="2156">+BP509+BE510</f>
        <v>34292317</v>
      </c>
      <c r="BQ510" s="66"/>
      <c r="BR510" s="435">
        <f t="shared" ref="BR510" si="2157">+BP510/BC510</f>
        <v>6.4442154650616063E-2</v>
      </c>
      <c r="BS510" s="66"/>
      <c r="BT510" s="75"/>
      <c r="BU510" s="170"/>
      <c r="BV510" s="1"/>
      <c r="BW510" s="61">
        <f t="shared" si="1183"/>
        <v>501</v>
      </c>
    </row>
    <row r="511" spans="2:75" x14ac:dyDescent="0.3">
      <c r="B511" s="158">
        <f t="shared" si="432"/>
        <v>44411</v>
      </c>
      <c r="C511" s="61"/>
      <c r="D511" s="17">
        <v>104758</v>
      </c>
      <c r="E511" s="16"/>
      <c r="F511" s="16"/>
      <c r="G511" s="16"/>
      <c r="H511" s="16">
        <f t="shared" ref="H511" si="2158">+H510+D511</f>
        <v>35304053</v>
      </c>
      <c r="I511" s="16"/>
      <c r="J511" s="436">
        <f t="shared" ref="J511" si="2159">+D511/H510</f>
        <v>2.9761391527870088E-3</v>
      </c>
      <c r="K511" s="16"/>
      <c r="L511" s="16"/>
      <c r="M511" s="16"/>
      <c r="N511" s="16">
        <f t="shared" ref="N511" si="2160">SUM(D505:D511)</f>
        <v>504938</v>
      </c>
      <c r="O511" s="16">
        <f t="shared" ref="O511" si="2161">+H511/BW511</f>
        <v>70326.798804780876</v>
      </c>
      <c r="P511" s="41"/>
      <c r="Q511" s="17">
        <f t="shared" ref="Q511" si="2162">SUM(D505:D511)</f>
        <v>504938</v>
      </c>
      <c r="R511" s="16"/>
      <c r="S511" s="60">
        <f t="shared" ref="S511" si="2163">+(Q511-Q504)/Q504</f>
        <v>0.51335361376271893</v>
      </c>
      <c r="T511" s="16"/>
      <c r="U511" s="41"/>
      <c r="V511" s="10">
        <f t="shared" si="356"/>
        <v>403</v>
      </c>
      <c r="W511" s="34">
        <v>516</v>
      </c>
      <c r="X511" s="33">
        <v>4256</v>
      </c>
      <c r="Y511" s="33"/>
      <c r="Z511" s="33">
        <f t="shared" ref="Z511" si="2164">SUM(W506:W511)</f>
        <v>1948</v>
      </c>
      <c r="AA511" s="33">
        <f t="shared" ref="AA511" si="2165">+AA510+W511</f>
        <v>613661</v>
      </c>
      <c r="AB511" s="33"/>
      <c r="AC511" s="46">
        <f t="shared" ref="AC511" si="2166">+AA511/H511</f>
        <v>1.7382168557247519E-2</v>
      </c>
      <c r="AD511" s="33"/>
      <c r="AE511" s="33">
        <f t="shared" ref="AE511" si="2167">+AA511/BW511</f>
        <v>1222.4322709163346</v>
      </c>
      <c r="AF511" s="50"/>
      <c r="AG511" s="33">
        <f t="shared" ref="AG511" si="2168">SUM(W505:W511)</f>
        <v>2431</v>
      </c>
      <c r="AH511" s="33">
        <f t="shared" ref="AH511" si="2169">SUM(D482:D930)</f>
        <v>1119422077.060914</v>
      </c>
      <c r="AI511" s="213">
        <f t="shared" ref="AI511" si="2170">+(AG511-AG504)/AG504</f>
        <v>0.29308510638297874</v>
      </c>
      <c r="AJ511" s="50"/>
      <c r="AK511" s="111"/>
      <c r="AL511" s="23">
        <f t="shared" ref="AL511" si="2171">+AP511-AP510</f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ref="AR511" si="2172">+AL511/AP510</f>
        <v>1.3140052622799797E-3</v>
      </c>
      <c r="AS511" s="25"/>
      <c r="AT511" s="25"/>
      <c r="AU511" s="24"/>
      <c r="AV511" s="298">
        <f t="shared" ref="AV511" si="2173">+AP511/H511</f>
        <v>0.84286600181571225</v>
      </c>
      <c r="AW511" s="298"/>
      <c r="AX511" s="24">
        <f t="shared" ref="AX511" si="2174">+AP511/BW511</f>
        <v>59276.067729083668</v>
      </c>
      <c r="AY511" s="308"/>
      <c r="AZ511" s="111"/>
      <c r="BA511" s="65">
        <f t="shared" ref="BA511" si="2175">+BC511-BC510</f>
        <v>7084250</v>
      </c>
      <c r="BB511" s="66"/>
      <c r="BC511" s="66">
        <v>539225318</v>
      </c>
      <c r="BD511" s="66"/>
      <c r="BE511" s="66">
        <f t="shared" ref="BE511" si="2176">+D511</f>
        <v>104758</v>
      </c>
      <c r="BF511" s="66"/>
      <c r="BG511" s="144">
        <f t="shared" ref="BG511" si="2177">+BE511/BA511</f>
        <v>1.4787451035748314E-2</v>
      </c>
      <c r="BH511" s="66"/>
      <c r="BI511" s="170"/>
      <c r="BJ511" s="66"/>
      <c r="BK511" s="66">
        <f t="shared" ref="BK511" si="2178">SUM(BA505:BA511)</f>
        <v>12349086</v>
      </c>
      <c r="BL511" s="66"/>
      <c r="BM511" s="144">
        <f t="shared" ref="BM511" si="2179">+Q511/BK511</f>
        <v>4.0888694110641062E-2</v>
      </c>
      <c r="BN511" s="65">
        <f t="shared" ref="BN511" si="2180">+BC511/BW511</f>
        <v>1074154.0199203186</v>
      </c>
      <c r="BO511" s="66"/>
      <c r="BP511" s="66">
        <f t="shared" ref="BP511" si="2181">+BP510+BE511</f>
        <v>34397075</v>
      </c>
      <c r="BQ511" s="66"/>
      <c r="BR511" s="435">
        <f t="shared" ref="BR511" si="2182">+BP511/BC511</f>
        <v>6.378979964735261E-2</v>
      </c>
      <c r="BS511" s="66"/>
      <c r="BT511" s="75"/>
      <c r="BU511" s="170"/>
      <c r="BV511" s="1"/>
      <c r="BW511" s="61">
        <f t="shared" si="1183"/>
        <v>502</v>
      </c>
    </row>
    <row r="512" spans="2:75" x14ac:dyDescent="0.3">
      <c r="B512" s="158">
        <f t="shared" si="432"/>
        <v>44412</v>
      </c>
      <c r="C512" s="61"/>
      <c r="D512" s="17">
        <v>112279</v>
      </c>
      <c r="E512" s="16"/>
      <c r="F512" s="16"/>
      <c r="G512" s="16"/>
      <c r="H512" s="16">
        <f t="shared" ref="H512" si="2183">+H511+D512</f>
        <v>35416332</v>
      </c>
      <c r="I512" s="16"/>
      <c r="J512" s="436">
        <f t="shared" ref="J512" si="2184">+D512/H511</f>
        <v>3.1803430614609604E-3</v>
      </c>
      <c r="K512" s="16"/>
      <c r="L512" s="16"/>
      <c r="M512" s="16"/>
      <c r="N512" s="16">
        <f t="shared" ref="N512" si="2185">SUM(D506:D512)</f>
        <v>532683</v>
      </c>
      <c r="O512" s="16">
        <f t="shared" ref="O512" si="2186">+H512/BW512</f>
        <v>70410.202783300192</v>
      </c>
      <c r="P512" s="41"/>
      <c r="Q512" s="17">
        <f t="shared" ref="Q512" si="2187">SUM(D506:D512)</f>
        <v>532683</v>
      </c>
      <c r="R512" s="16"/>
      <c r="S512" s="60">
        <f t="shared" ref="S512" si="2188">+(Q512-Q505)/Q505</f>
        <v>0.47286708104760217</v>
      </c>
      <c r="T512" s="16"/>
      <c r="U512" s="41"/>
      <c r="V512" s="10">
        <f t="shared" si="356"/>
        <v>404</v>
      </c>
      <c r="W512" s="34">
        <v>656</v>
      </c>
      <c r="X512" s="33">
        <v>4256</v>
      </c>
      <c r="Y512" s="33"/>
      <c r="Z512" s="33">
        <f t="shared" ref="Z512" si="2189">SUM(W507:W512)</f>
        <v>2119</v>
      </c>
      <c r="AA512" s="33">
        <f t="shared" ref="AA512" si="2190">+AA511+W512</f>
        <v>614317</v>
      </c>
      <c r="AB512" s="33"/>
      <c r="AC512" s="46">
        <f t="shared" ref="AC512" si="2191">+AA512/H512</f>
        <v>1.7345585082046328E-2</v>
      </c>
      <c r="AD512" s="33"/>
      <c r="AE512" s="33">
        <f t="shared" ref="AE512" si="2192">+AA512/BW512</f>
        <v>1221.3061630218688</v>
      </c>
      <c r="AF512" s="50"/>
      <c r="AG512" s="33">
        <f t="shared" ref="AG512" si="2193">SUM(W506:W512)</f>
        <v>2604</v>
      </c>
      <c r="AH512" s="33">
        <f t="shared" ref="AH512" si="2194">SUM(D483:D931)</f>
        <v>1119416945.060914</v>
      </c>
      <c r="AI512" s="213">
        <f t="shared" ref="AI512" si="2195">+(AG512-AG505)/AG505</f>
        <v>0.33744221879815101</v>
      </c>
      <c r="AJ512" s="50"/>
      <c r="AK512" s="111"/>
      <c r="AL512" s="23">
        <f t="shared" ref="AL512" si="2196">+AP512-AP511</f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ref="AR512" si="2197">+AL512/AP511</f>
        <v>1.0327125564740525E-3</v>
      </c>
      <c r="AS512" s="25"/>
      <c r="AT512" s="25"/>
      <c r="AU512" s="24"/>
      <c r="AV512" s="298">
        <f t="shared" ref="AV512" si="2198">+AP512/H512</f>
        <v>0.84106157577244312</v>
      </c>
      <c r="AW512" s="298"/>
      <c r="AX512" s="24">
        <f t="shared" ref="AX512" si="2199">+AP512/BW512</f>
        <v>59219.316103379722</v>
      </c>
      <c r="AY512" s="308"/>
      <c r="AZ512" s="111"/>
      <c r="BA512" s="65">
        <f t="shared" ref="BA512" si="2200">+BC512-BC511</f>
        <v>1157031</v>
      </c>
      <c r="BB512" s="66"/>
      <c r="BC512" s="66">
        <v>540382349</v>
      </c>
      <c r="BD512" s="66"/>
      <c r="BE512" s="66">
        <f t="shared" ref="BE512" si="2201">+D512</f>
        <v>112279</v>
      </c>
      <c r="BF512" s="66"/>
      <c r="BG512" s="144">
        <f t="shared" ref="BG512" si="2202">+BE512/BA512</f>
        <v>9.7040615160700103E-2</v>
      </c>
      <c r="BH512" s="66"/>
      <c r="BI512" s="170"/>
      <c r="BJ512" s="66"/>
      <c r="BK512" s="66">
        <f t="shared" ref="BK512" si="2203">SUM(BA506:BA512)</f>
        <v>13301197</v>
      </c>
      <c r="BL512" s="66"/>
      <c r="BM512" s="144">
        <f t="shared" ref="BM512" si="2204">+Q512/BK512</f>
        <v>4.0047749086040904E-2</v>
      </c>
      <c r="BN512" s="65">
        <f t="shared" ref="BN512" si="2205">+BC512/BW512</f>
        <v>1074318.7852882703</v>
      </c>
      <c r="BO512" s="66"/>
      <c r="BP512" s="66">
        <f t="shared" ref="BP512" si="2206">+BP511+BE512</f>
        <v>34509354</v>
      </c>
      <c r="BQ512" s="66"/>
      <c r="BR512" s="435">
        <f t="shared" ref="BR512" si="2207">+BP512/BC512</f>
        <v>6.3860994097718018E-2</v>
      </c>
      <c r="BS512" s="66"/>
      <c r="BT512" s="75"/>
      <c r="BU512" s="170"/>
      <c r="BV512" s="1"/>
      <c r="BW512" s="61">
        <f t="shared" si="1183"/>
        <v>503</v>
      </c>
    </row>
    <row r="513" spans="2:75" x14ac:dyDescent="0.3">
      <c r="B513" s="158">
        <f t="shared" si="432"/>
        <v>44413</v>
      </c>
      <c r="C513" s="61"/>
      <c r="D513" s="17">
        <v>120945</v>
      </c>
      <c r="E513" s="16"/>
      <c r="F513" s="16"/>
      <c r="G513" s="16"/>
      <c r="H513" s="16">
        <f t="shared" ref="H513" si="2208">+H512+D513</f>
        <v>35537277</v>
      </c>
      <c r="I513" s="16"/>
      <c r="J513" s="436">
        <f t="shared" ref="J513" si="2209">+D513/H512</f>
        <v>3.4149499163267389E-3</v>
      </c>
      <c r="K513" s="16"/>
      <c r="L513" s="16"/>
      <c r="M513" s="16"/>
      <c r="N513" s="16">
        <f t="shared" ref="N513" si="2210">SUM(D507:D513)</f>
        <v>569115</v>
      </c>
      <c r="O513" s="16">
        <f t="shared" ref="O513" si="2211">+H513/BW513</f>
        <v>70510.470238095237</v>
      </c>
      <c r="P513" s="41"/>
      <c r="Q513" s="17">
        <f t="shared" ref="Q513" si="2212">SUM(D507:D513)</f>
        <v>569115</v>
      </c>
      <c r="R513" s="16"/>
      <c r="S513" s="60">
        <f t="shared" ref="S513" si="2213">+(Q513-Q506)/Q506</f>
        <v>0.48004296198436519</v>
      </c>
      <c r="T513" s="16"/>
      <c r="U513" s="41"/>
      <c r="V513" s="10">
        <f t="shared" si="356"/>
        <v>405</v>
      </c>
      <c r="W513" s="34">
        <v>559</v>
      </c>
      <c r="X513" s="33">
        <v>4256</v>
      </c>
      <c r="Y513" s="33"/>
      <c r="Z513" s="33">
        <f t="shared" ref="Z513" si="2214">SUM(W508:W513)</f>
        <v>2249</v>
      </c>
      <c r="AA513" s="33">
        <f t="shared" ref="AA513" si="2215">+AA512+W513</f>
        <v>614876</v>
      </c>
      <c r="AB513" s="33"/>
      <c r="AC513" s="46">
        <f t="shared" ref="AC513" si="2216">+AA513/H513</f>
        <v>1.7302282332999235E-2</v>
      </c>
      <c r="AD513" s="33"/>
      <c r="AE513" s="33">
        <f t="shared" ref="AE513" si="2217">+AA513/BW513</f>
        <v>1219.9920634920634</v>
      </c>
      <c r="AF513" s="50"/>
      <c r="AG513" s="33">
        <f t="shared" ref="AG513" si="2218">SUM(W507:W513)</f>
        <v>2678</v>
      </c>
      <c r="AH513" s="33">
        <f t="shared" ref="AH513" si="2219">SUM(D484:D932)</f>
        <v>1119405333.060914</v>
      </c>
      <c r="AI513" s="213">
        <f t="shared" ref="AI513" si="2220">+(AG513-AG506)/AG506</f>
        <v>0.29559748427672955</v>
      </c>
      <c r="AJ513" s="50"/>
      <c r="AK513" s="111" t="s">
        <v>26</v>
      </c>
      <c r="AL513" s="23">
        <f t="shared" ref="AL513" si="2221">+AP513-AP512</f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ref="AR513" si="2222">+AL513/AP512</f>
        <v>4.258188283899093E-4</v>
      </c>
      <c r="AS513" s="25"/>
      <c r="AT513" s="25"/>
      <c r="AU513" s="24"/>
      <c r="AV513" s="298">
        <f t="shared" ref="AV513" si="2223">+AP513/H513</f>
        <v>0.83855608858270148</v>
      </c>
      <c r="AW513" s="298"/>
      <c r="AX513" s="24">
        <f t="shared" ref="AX513" si="2224">+AP513/BW513</f>
        <v>59126.984126984127</v>
      </c>
      <c r="AY513" s="308"/>
      <c r="AZ513" s="111" t="s">
        <v>26</v>
      </c>
      <c r="BA513" s="65">
        <f t="shared" ref="BA513" si="2225">+BC513-BC512</f>
        <v>1100613</v>
      </c>
      <c r="BB513" s="66"/>
      <c r="BC513" s="66">
        <v>541482962</v>
      </c>
      <c r="BD513" s="66"/>
      <c r="BE513" s="66">
        <f t="shared" ref="BE513" si="2226">+D513</f>
        <v>120945</v>
      </c>
      <c r="BF513" s="66"/>
      <c r="BG513" s="144">
        <f t="shared" ref="BG513" si="2227">+BE513/BA513</f>
        <v>0.10988876198990925</v>
      </c>
      <c r="BH513" s="66"/>
      <c r="BI513" s="170"/>
      <c r="BJ513" s="66"/>
      <c r="BK513" s="66">
        <f t="shared" ref="BK513" si="2228">SUM(BA507:BA513)</f>
        <v>14182962</v>
      </c>
      <c r="BL513" s="66"/>
      <c r="BM513" s="144">
        <f t="shared" ref="BM513" si="2229">+Q513/BK513</f>
        <v>4.0126667476088562E-2</v>
      </c>
      <c r="BN513" s="65">
        <f t="shared" ref="BN513" si="2230">+BC513/BW513</f>
        <v>1074370.9563492064</v>
      </c>
      <c r="BO513" s="66"/>
      <c r="BP513" s="66">
        <f t="shared" ref="BP513" si="2231">+BP512+BE513</f>
        <v>34630299</v>
      </c>
      <c r="BQ513" s="66"/>
      <c r="BR513" s="435">
        <f t="shared" ref="BR513" si="2232">+BP513/BC513</f>
        <v>6.3954549690891288E-2</v>
      </c>
      <c r="BS513" s="66"/>
      <c r="BT513" s="75"/>
      <c r="BU513" s="170"/>
      <c r="BV513" s="1"/>
      <c r="BW513" s="61">
        <f t="shared" si="1183"/>
        <v>504</v>
      </c>
    </row>
    <row r="514" spans="2:75" x14ac:dyDescent="0.3">
      <c r="B514" s="158">
        <f t="shared" si="432"/>
        <v>44414</v>
      </c>
      <c r="C514" s="61"/>
      <c r="D514" s="17">
        <v>130706</v>
      </c>
      <c r="E514" s="16"/>
      <c r="F514" s="16"/>
      <c r="G514" s="16"/>
      <c r="H514" s="16">
        <f t="shared" ref="H514" si="2233">+H513+D514</f>
        <v>35667983</v>
      </c>
      <c r="I514" s="16"/>
      <c r="J514" s="436">
        <f t="shared" ref="J514" si="2234">+D514/H513</f>
        <v>3.67799705081512E-3</v>
      </c>
      <c r="K514" s="16"/>
      <c r="L514" s="16"/>
      <c r="M514" s="16"/>
      <c r="N514" s="16">
        <f t="shared" ref="N514" si="2235">SUM(D508:D514)</f>
        <v>598723</v>
      </c>
      <c r="O514" s="16">
        <f t="shared" ref="O514" si="2236">+H514/BW514</f>
        <v>70629.669306930693</v>
      </c>
      <c r="P514" s="41"/>
      <c r="Q514" s="17">
        <f t="shared" ref="Q514" si="2237">SUM(D508:D514)</f>
        <v>598723</v>
      </c>
      <c r="R514" s="16"/>
      <c r="S514" s="60">
        <f t="shared" ref="S514" si="2238">+(Q514-Q507)/Q507</f>
        <v>0.43187552464611051</v>
      </c>
      <c r="T514" s="16"/>
      <c r="U514" s="41"/>
      <c r="V514" s="10">
        <f t="shared" si="356"/>
        <v>406</v>
      </c>
      <c r="W514" s="34">
        <v>750</v>
      </c>
      <c r="X514" s="33">
        <v>4256</v>
      </c>
      <c r="Y514" s="33"/>
      <c r="Z514" s="33">
        <f t="shared" ref="Z514" si="2239">SUM(W509:W514)</f>
        <v>2758</v>
      </c>
      <c r="AA514" s="33">
        <f t="shared" ref="AA514" si="2240">+AA513+W514</f>
        <v>615626</v>
      </c>
      <c r="AB514" s="33"/>
      <c r="AC514" s="46">
        <f t="shared" ref="AC514" si="2241">+AA514/H514</f>
        <v>1.7259905052663057E-2</v>
      </c>
      <c r="AD514" s="33"/>
      <c r="AE514" s="33">
        <f t="shared" ref="AE514" si="2242">+AA514/BW514</f>
        <v>1219.0613861386139</v>
      </c>
      <c r="AF514" s="50"/>
      <c r="AG514" s="33">
        <f t="shared" ref="AG514" si="2243">SUM(W508:W514)</f>
        <v>2999</v>
      </c>
      <c r="AH514" s="33">
        <f t="shared" ref="AH514" si="2244">SUM(D485:D933)</f>
        <v>1119388521.060914</v>
      </c>
      <c r="AI514" s="213">
        <f t="shared" ref="AI514" si="2245">+(AG514-AG507)/AG507</f>
        <v>0.45019342359767894</v>
      </c>
      <c r="AJ514" s="50"/>
      <c r="AK514" s="111"/>
      <c r="AL514" s="23">
        <f t="shared" ref="AL514" si="2246">+AP514-AP513</f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ref="AR514" si="2247">+AL514/AP513</f>
        <v>1.1567785234899328E-3</v>
      </c>
      <c r="AS514" s="25"/>
      <c r="AT514" s="25"/>
      <c r="AU514" s="24"/>
      <c r="AV514" s="298">
        <f t="shared" ref="AV514" si="2248">+AP514/H514</f>
        <v>0.83644965290019346</v>
      </c>
      <c r="AW514" s="298"/>
      <c r="AX514" s="24">
        <f t="shared" ref="AX514" si="2249">+AP514/BW514</f>
        <v>59078.162376237626</v>
      </c>
      <c r="AY514" s="308"/>
      <c r="AZ514" s="111"/>
      <c r="BA514" s="65">
        <f t="shared" ref="BA514" si="2250">+BC514-BC513</f>
        <v>1408885</v>
      </c>
      <c r="BB514" s="66"/>
      <c r="BC514" s="66">
        <v>542891847</v>
      </c>
      <c r="BD514" s="66"/>
      <c r="BE514" s="66">
        <f t="shared" ref="BE514" si="2251">+D514</f>
        <v>130706</v>
      </c>
      <c r="BF514" s="66"/>
      <c r="BG514" s="144">
        <f t="shared" ref="BG514" si="2252">+BE514/BA514</f>
        <v>9.2772653552277151E-2</v>
      </c>
      <c r="BH514" s="66"/>
      <c r="BI514" s="170"/>
      <c r="BJ514" s="66"/>
      <c r="BK514" s="66">
        <f t="shared" ref="BK514" si="2253">SUM(BA508:BA514)</f>
        <v>13712937</v>
      </c>
      <c r="BL514" s="66"/>
      <c r="BM514" s="144">
        <f t="shared" ref="BM514" si="2254">+Q514/BK514</f>
        <v>4.3661179220760661E-2</v>
      </c>
      <c r="BN514" s="65">
        <f t="shared" ref="BN514" si="2255">+BC514/BW514</f>
        <v>1075033.3603960397</v>
      </c>
      <c r="BO514" s="66"/>
      <c r="BP514" s="66">
        <f t="shared" ref="BP514" si="2256">+BP513+BE514</f>
        <v>34761005</v>
      </c>
      <c r="BQ514" s="66"/>
      <c r="BR514" s="435">
        <f t="shared" ref="BR514" si="2257">+BP514/BC514</f>
        <v>6.4029336951895693E-2</v>
      </c>
      <c r="BS514" s="66"/>
      <c r="BT514" s="75"/>
      <c r="BU514" s="170"/>
      <c r="BV514" s="1"/>
      <c r="BW514" s="61">
        <f t="shared" si="1183"/>
        <v>505</v>
      </c>
    </row>
    <row r="515" spans="2:75" x14ac:dyDescent="0.3">
      <c r="B515" s="158">
        <f t="shared" si="432"/>
        <v>44415</v>
      </c>
      <c r="C515" s="61"/>
      <c r="D515" s="17">
        <v>68950</v>
      </c>
      <c r="E515" s="16"/>
      <c r="F515" s="16"/>
      <c r="G515" s="16"/>
      <c r="H515" s="16">
        <f t="shared" ref="H515" si="2258">+H514+D515</f>
        <v>35736933</v>
      </c>
      <c r="I515" s="16"/>
      <c r="J515" s="436">
        <f t="shared" ref="J515" si="2259">+D515/H514</f>
        <v>1.9331062258272356E-3</v>
      </c>
      <c r="K515" s="16"/>
      <c r="L515" s="16"/>
      <c r="M515" s="16"/>
      <c r="N515" s="16">
        <f t="shared" ref="N515" si="2260">SUM(D509:D515)</f>
        <v>615775</v>
      </c>
      <c r="O515" s="16">
        <f t="shared" ref="O515" si="2261">+H515/BW515</f>
        <v>70626.349802371536</v>
      </c>
      <c r="P515" s="41"/>
      <c r="Q515" s="17">
        <f t="shared" ref="Q515" si="2262">SUM(D509:D515)</f>
        <v>615775</v>
      </c>
      <c r="R515" s="16"/>
      <c r="S515" s="60">
        <f t="shared" ref="S515" si="2263">+(Q515-Q508)/Q508</f>
        <v>0.42126631245124152</v>
      </c>
      <c r="T515" s="16"/>
      <c r="U515" s="41"/>
      <c r="V515" s="10">
        <f t="shared" si="356"/>
        <v>407</v>
      </c>
      <c r="W515" s="34">
        <v>320</v>
      </c>
      <c r="X515" s="33">
        <v>4256</v>
      </c>
      <c r="Y515" s="33"/>
      <c r="Z515" s="33">
        <f t="shared" ref="Z515" si="2264">SUM(W510:W515)</f>
        <v>3014</v>
      </c>
      <c r="AA515" s="33">
        <f t="shared" ref="AA515" si="2265">+AA514+W515</f>
        <v>615946</v>
      </c>
      <c r="AB515" s="33"/>
      <c r="AC515" s="46">
        <f t="shared" ref="AC515" si="2266">+AA515/H515</f>
        <v>1.7235558518689895E-2</v>
      </c>
      <c r="AD515" s="33"/>
      <c r="AE515" s="33">
        <f t="shared" ref="AE515" si="2267">+AA515/BW515</f>
        <v>1217.2845849802372</v>
      </c>
      <c r="AF515" s="50"/>
      <c r="AG515" s="33">
        <f t="shared" ref="AG515" si="2268">SUM(W509:W515)</f>
        <v>3078</v>
      </c>
      <c r="AH515" s="33">
        <f t="shared" ref="AH515" si="2269">SUM(D486:D934)</f>
        <v>1119369174.060914</v>
      </c>
      <c r="AI515" s="213">
        <f t="shared" ref="AI515" si="2270">+(AG515-AG508)/AG508</f>
        <v>0.42632066728452273</v>
      </c>
      <c r="AJ515" s="50"/>
      <c r="AK515" s="111"/>
      <c r="AL515" s="23">
        <f t="shared" ref="AL515" si="2271">+AP515-AP514</f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ref="AR515" si="2272">+AL515/AP514</f>
        <v>5.8090520254556544E-4</v>
      </c>
      <c r="AS515" s="25"/>
      <c r="AT515" s="25"/>
      <c r="AU515" s="24"/>
      <c r="AV515" s="298">
        <f t="shared" ref="AV515" si="2273">+AP515/H515</f>
        <v>0.83532078704123824</v>
      </c>
      <c r="AW515" s="298"/>
      <c r="AX515" s="24">
        <f t="shared" ref="AX515" si="2274">+AP515/BW515</f>
        <v>58995.6581027668</v>
      </c>
      <c r="AY515" s="308"/>
      <c r="AZ515" s="111"/>
      <c r="BA515" s="65">
        <f t="shared" ref="BA515" si="2275">+BC515-BC514</f>
        <v>836734</v>
      </c>
      <c r="BB515" s="66"/>
      <c r="BC515" s="66">
        <v>543728581</v>
      </c>
      <c r="BD515" s="66"/>
      <c r="BE515" s="66">
        <f t="shared" ref="BE515" si="2276">+D515</f>
        <v>68950</v>
      </c>
      <c r="BF515" s="66"/>
      <c r="BG515" s="144">
        <f t="shared" ref="BG515" si="2277">+BE515/BA515</f>
        <v>8.2403726871383254E-2</v>
      </c>
      <c r="BH515" s="66"/>
      <c r="BI515" s="170"/>
      <c r="BJ515" s="66"/>
      <c r="BK515" s="66">
        <f t="shared" ref="BK515" si="2278">SUM(BA509:BA515)</f>
        <v>14048761</v>
      </c>
      <c r="BL515" s="66"/>
      <c r="BM515" s="144">
        <f t="shared" ref="BM515" si="2279">+Q515/BK515</f>
        <v>4.3831267397886543E-2</v>
      </c>
      <c r="BN515" s="65">
        <f t="shared" ref="BN515" si="2280">+BC515/BW515</f>
        <v>1074562.4130434783</v>
      </c>
      <c r="BO515" s="66"/>
      <c r="BP515" s="66">
        <f t="shared" ref="BP515" si="2281">+BP514+BE515</f>
        <v>34829955</v>
      </c>
      <c r="BQ515" s="66"/>
      <c r="BR515" s="435">
        <f t="shared" ref="BR515" si="2282">+BP515/BC515</f>
        <v>6.4057612965539509E-2</v>
      </c>
      <c r="BS515" s="66"/>
      <c r="BT515" s="75"/>
      <c r="BU515" s="170"/>
      <c r="BV515" s="1"/>
      <c r="BW515" s="61">
        <f t="shared" si="1183"/>
        <v>506</v>
      </c>
    </row>
    <row r="516" spans="2:75" x14ac:dyDescent="0.3">
      <c r="B516" s="347">
        <f t="shared" si="432"/>
        <v>44416</v>
      </c>
      <c r="C516" s="61"/>
      <c r="D516" s="17">
        <v>24390</v>
      </c>
      <c r="E516" s="16"/>
      <c r="F516" s="16"/>
      <c r="G516" s="16"/>
      <c r="H516" s="16">
        <f t="shared" ref="H516" si="2283">+H515+D516</f>
        <v>35761323</v>
      </c>
      <c r="I516" s="16"/>
      <c r="J516" s="436">
        <f t="shared" ref="J516" si="2284">+D516/H515</f>
        <v>6.8248721847507176E-4</v>
      </c>
      <c r="K516" s="16"/>
      <c r="L516" s="16"/>
      <c r="M516" s="16"/>
      <c r="N516" s="16">
        <f t="shared" ref="N516" si="2285">SUM(D510:D516)</f>
        <v>618397</v>
      </c>
      <c r="O516" s="16">
        <f t="shared" ref="O516" si="2286">+H516/BW516</f>
        <v>70535.153846153844</v>
      </c>
      <c r="P516" s="41"/>
      <c r="Q516" s="17">
        <f t="shared" ref="Q516" si="2287">SUM(D510:D516)</f>
        <v>618397</v>
      </c>
      <c r="R516" s="16"/>
      <c r="S516" s="60">
        <f t="shared" ref="S516" si="2288">+(Q516-Q509)/Q509</f>
        <v>0.40159969900817755</v>
      </c>
      <c r="T516" s="16"/>
      <c r="U516" s="41"/>
      <c r="V516" s="10">
        <f t="shared" si="356"/>
        <v>408</v>
      </c>
      <c r="W516" s="34">
        <v>129</v>
      </c>
      <c r="X516" s="33">
        <v>4256</v>
      </c>
      <c r="Y516" s="33"/>
      <c r="Z516" s="33">
        <f t="shared" ref="Z516" si="2289">SUM(W511:W516)</f>
        <v>2930</v>
      </c>
      <c r="AA516" s="33">
        <f t="shared" ref="AA516" si="2290">+AA515+W516</f>
        <v>616075</v>
      </c>
      <c r="AB516" s="33"/>
      <c r="AC516" s="46">
        <f t="shared" ref="AC516" si="2291">+AA516/H516</f>
        <v>1.7227410742046652E-2</v>
      </c>
      <c r="AD516" s="33"/>
      <c r="AE516" s="33">
        <f t="shared" ref="AE516" si="2292">+AA516/BW516</f>
        <v>1215.1380670611441</v>
      </c>
      <c r="AF516" s="50"/>
      <c r="AG516" s="33">
        <f t="shared" ref="AG516" si="2293">SUM(W510:W516)</f>
        <v>3143</v>
      </c>
      <c r="AH516" s="33">
        <f t="shared" ref="AH516" si="2294">SUM(D487:D935)</f>
        <v>1119341937.060914</v>
      </c>
      <c r="AI516" s="213">
        <f t="shared" ref="AI516" si="2295">+(AG516-AG509)/AG509</f>
        <v>0.44638748274275197</v>
      </c>
      <c r="AJ516" s="50"/>
      <c r="AK516" s="111"/>
      <c r="AL516" s="23">
        <f t="shared" ref="AL516" si="2296">+AP516-AP515</f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ref="AR516" si="2297">+AL516/AP515</f>
        <v>2.4316789173504862E-4</v>
      </c>
      <c r="AS516" s="25"/>
      <c r="AT516" s="25"/>
      <c r="AU516" s="24"/>
      <c r="AV516" s="298">
        <f t="shared" ref="AV516" si="2298">+AP516/H516</f>
        <v>0.8349540647587339</v>
      </c>
      <c r="AW516" s="298"/>
      <c r="AX516" s="24">
        <f t="shared" ref="AX516" si="2299">+AP516/BW516</f>
        <v>58893.613412228799</v>
      </c>
      <c r="AY516" s="308"/>
      <c r="AZ516" s="111"/>
      <c r="BA516" s="65">
        <f t="shared" ref="BA516" si="2300">+BC516-BC515</f>
        <v>652881</v>
      </c>
      <c r="BB516" s="66"/>
      <c r="BC516" s="66">
        <v>544381462</v>
      </c>
      <c r="BD516" s="66"/>
      <c r="BE516" s="66">
        <f t="shared" ref="BE516" si="2301">+D516</f>
        <v>24390</v>
      </c>
      <c r="BF516" s="66"/>
      <c r="BG516" s="144">
        <f t="shared" ref="BG516" si="2302">+BE516/BA516</f>
        <v>3.73574970017507E-2</v>
      </c>
      <c r="BH516" s="66"/>
      <c r="BI516" s="170"/>
      <c r="BJ516" s="66"/>
      <c r="BK516" s="66">
        <f t="shared" ref="BK516" si="2303">SUM(BA510:BA516)</f>
        <v>14463413</v>
      </c>
      <c r="BL516" s="66"/>
      <c r="BM516" s="144">
        <f t="shared" ref="BM516" si="2304">+Q516/BK516</f>
        <v>4.2755952554213862E-2</v>
      </c>
      <c r="BN516" s="65">
        <f t="shared" ref="BN516" si="2305">+BC516/BW516</f>
        <v>1073730.6942800789</v>
      </c>
      <c r="BO516" s="66"/>
      <c r="BP516" s="66">
        <f t="shared" ref="BP516" si="2306">+BP515+BE516</f>
        <v>34854345</v>
      </c>
      <c r="BQ516" s="66"/>
      <c r="BR516" s="435">
        <f t="shared" ref="BR516" si="2307">+BP516/BC516</f>
        <v>6.4025591304944174E-2</v>
      </c>
      <c r="BS516" s="66"/>
      <c r="BT516" s="75"/>
      <c r="BU516" s="170"/>
      <c r="BV516" s="1"/>
      <c r="BW516" s="61">
        <f t="shared" si="1183"/>
        <v>507</v>
      </c>
    </row>
    <row r="517" spans="2:75" x14ac:dyDescent="0.3">
      <c r="B517" s="158">
        <f t="shared" si="432"/>
        <v>44417</v>
      </c>
      <c r="C517" s="61"/>
      <c r="D517" s="17">
        <v>102375</v>
      </c>
      <c r="E517" s="16"/>
      <c r="F517" s="16"/>
      <c r="G517" s="16"/>
      <c r="H517" s="16">
        <f t="shared" ref="H517" si="2308">+H516+D517</f>
        <v>35863698</v>
      </c>
      <c r="I517" s="16"/>
      <c r="J517" s="436">
        <f t="shared" ref="J517" si="2309">+D517/H516</f>
        <v>2.8627296590788883E-3</v>
      </c>
      <c r="K517" s="16"/>
      <c r="L517" s="16"/>
      <c r="M517" s="16"/>
      <c r="N517" s="16">
        <f t="shared" ref="N517" si="2310">SUM(D511:D517)</f>
        <v>664403</v>
      </c>
      <c r="O517" s="16">
        <f t="shared" ref="O517" si="2311">+H517/BW517</f>
        <v>70597.830708661422</v>
      </c>
      <c r="P517" s="41"/>
      <c r="Q517" s="17">
        <f t="shared" ref="Q517" si="2312">SUM(D511:D517)</f>
        <v>664403</v>
      </c>
      <c r="R517" s="16"/>
      <c r="S517" s="60">
        <f t="shared" ref="S517" si="2313">+(Q517-Q510)/Q510</f>
        <v>0.43884606972004997</v>
      </c>
      <c r="T517" s="16"/>
      <c r="U517" s="41"/>
      <c r="V517" s="10">
        <f t="shared" si="356"/>
        <v>409</v>
      </c>
      <c r="W517" s="34">
        <v>326</v>
      </c>
      <c r="X517" s="33">
        <v>4256</v>
      </c>
      <c r="Y517" s="33"/>
      <c r="Z517" s="33">
        <f t="shared" ref="Z517" si="2314">SUM(W512:W517)</f>
        <v>2740</v>
      </c>
      <c r="AA517" s="33">
        <f t="shared" ref="AA517" si="2315">+AA516+W517</f>
        <v>616401</v>
      </c>
      <c r="AB517" s="33"/>
      <c r="AC517" s="46">
        <f t="shared" ref="AC517" si="2316">+AA517/H517</f>
        <v>1.7187324073496268E-2</v>
      </c>
      <c r="AD517" s="33"/>
      <c r="AE517" s="33">
        <f t="shared" ref="AE517" si="2317">+AA517/BW517</f>
        <v>1213.3877952755906</v>
      </c>
      <c r="AF517" s="50"/>
      <c r="AG517" s="33">
        <f t="shared" ref="AG517" si="2318">SUM(W511:W517)</f>
        <v>3256</v>
      </c>
      <c r="AH517" s="33">
        <f t="shared" ref="AH517" si="2319">SUM(D488:D936)</f>
        <v>1119327402.060914</v>
      </c>
      <c r="AI517" s="213">
        <f t="shared" ref="AI517" si="2320">+(AG517-AG510)/AG510</f>
        <v>0.44454303460514638</v>
      </c>
      <c r="AJ517" s="50"/>
      <c r="AK517" s="111"/>
      <c r="AL517" s="23">
        <f t="shared" ref="AL517" si="2321">+AP517-AP516</f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ref="AR517" si="2322">+AL517/AP516</f>
        <v>2.1520434901806358E-3</v>
      </c>
      <c r="AS517" s="25"/>
      <c r="AT517" s="25"/>
      <c r="AU517" s="24"/>
      <c r="AV517" s="298">
        <f t="shared" ref="AV517" si="2323">+AP517/H517</f>
        <v>0.83436236832018829</v>
      </c>
      <c r="AW517" s="298"/>
      <c r="AX517" s="24">
        <f t="shared" ref="AX517" si="2324">+AP517/BW517</f>
        <v>58904.173228346459</v>
      </c>
      <c r="AY517" s="308"/>
      <c r="AZ517" s="111"/>
      <c r="BA517" s="65">
        <f t="shared" ref="BA517" si="2325">+BC517-BC516</f>
        <v>2240677</v>
      </c>
      <c r="BB517" s="66"/>
      <c r="BC517" s="66">
        <v>546622139</v>
      </c>
      <c r="BD517" s="66"/>
      <c r="BE517" s="66">
        <f t="shared" ref="BE517" si="2326">+D517</f>
        <v>102375</v>
      </c>
      <c r="BF517" s="66"/>
      <c r="BG517" s="144">
        <f t="shared" ref="BG517" si="2327">+BE517/BA517</f>
        <v>4.5689316220053136E-2</v>
      </c>
      <c r="BH517" s="66"/>
      <c r="BI517" s="170"/>
      <c r="BJ517" s="66"/>
      <c r="BK517" s="66">
        <f t="shared" ref="BK517" si="2328">SUM(BA511:BA517)</f>
        <v>14481071</v>
      </c>
      <c r="BL517" s="66"/>
      <c r="BM517" s="144">
        <f t="shared" ref="BM517" si="2329">+Q517/BK517</f>
        <v>4.5880791551950822E-2</v>
      </c>
      <c r="BN517" s="65">
        <f t="shared" ref="BN517" si="2330">+BC517/BW517</f>
        <v>1076027.8326771653</v>
      </c>
      <c r="BO517" s="66"/>
      <c r="BP517" s="66">
        <f t="shared" ref="BP517" si="2331">+BP516+BE517</f>
        <v>34956720</v>
      </c>
      <c r="BQ517" s="66"/>
      <c r="BR517" s="435">
        <f t="shared" ref="BR517" si="2332">+BP517/BC517</f>
        <v>6.3950428469564793E-2</v>
      </c>
      <c r="BS517" s="66"/>
      <c r="BT517" s="75"/>
      <c r="BU517" s="170"/>
      <c r="BV517" s="1"/>
      <c r="BW517" s="61">
        <f t="shared" si="1183"/>
        <v>508</v>
      </c>
    </row>
    <row r="518" spans="2:75" x14ac:dyDescent="0.3">
      <c r="B518" s="158">
        <f t="shared" si="432"/>
        <v>44418</v>
      </c>
      <c r="C518" s="61"/>
      <c r="D518" s="17">
        <v>101254</v>
      </c>
      <c r="E518" s="16"/>
      <c r="F518" s="16"/>
      <c r="G518" s="16"/>
      <c r="H518" s="16">
        <f t="shared" ref="H518" si="2333">+H517+D518</f>
        <v>35964952</v>
      </c>
      <c r="I518" s="16"/>
      <c r="J518" s="436">
        <f t="shared" ref="J518" si="2334">+D518/H517</f>
        <v>2.8233005977241947E-3</v>
      </c>
      <c r="K518" s="16"/>
      <c r="L518" s="16"/>
      <c r="M518" s="16"/>
      <c r="N518" s="16">
        <f t="shared" ref="N518" si="2335">SUM(D512:D518)</f>
        <v>660899</v>
      </c>
      <c r="O518" s="16">
        <f t="shared" ref="O518" si="2336">+H518/BW518</f>
        <v>70658.05893909627</v>
      </c>
      <c r="P518" s="41"/>
      <c r="Q518" s="17">
        <f t="shared" ref="Q518" si="2337">SUM(D512:D518)</f>
        <v>660899</v>
      </c>
      <c r="R518" s="16"/>
      <c r="S518" s="60">
        <f t="shared" ref="S518" si="2338">+(Q518-Q511)/Q511</f>
        <v>0.30887158423410399</v>
      </c>
      <c r="T518" s="16"/>
      <c r="U518" s="41"/>
      <c r="V518" s="10">
        <f t="shared" si="356"/>
        <v>410</v>
      </c>
      <c r="W518" s="34">
        <v>657</v>
      </c>
      <c r="X518" s="33">
        <v>4256</v>
      </c>
      <c r="Y518" s="33"/>
      <c r="Z518" s="33">
        <f t="shared" ref="Z518" si="2339">SUM(W513:W518)</f>
        <v>2741</v>
      </c>
      <c r="AA518" s="33">
        <f t="shared" ref="AA518" si="2340">+AA517+W518</f>
        <v>617058</v>
      </c>
      <c r="AB518" s="33"/>
      <c r="AC518" s="46">
        <f t="shared" ref="AC518" si="2341">+AA518/H518</f>
        <v>1.7157203490776242E-2</v>
      </c>
      <c r="AD518" s="33"/>
      <c r="AE518" s="33">
        <f t="shared" ref="AE518" si="2342">+AA518/BW518</f>
        <v>1212.294695481336</v>
      </c>
      <c r="AF518" s="50"/>
      <c r="AG518" s="33">
        <f t="shared" ref="AG518" si="2343">SUM(W512:W518)</f>
        <v>3397</v>
      </c>
      <c r="AH518" s="33">
        <f t="shared" ref="AH518" si="2344">SUM(D489:D937)</f>
        <v>1119320760.060914</v>
      </c>
      <c r="AI518" s="213">
        <f t="shared" ref="AI518" si="2345">+(AG518-AG511)/AG511</f>
        <v>0.39736733854380912</v>
      </c>
      <c r="AJ518" s="50"/>
      <c r="AK518" s="111"/>
      <c r="AL518" s="23">
        <f t="shared" ref="AL518" si="2346">+AP518-AP517</f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ref="AR518" si="2347">+AL518/AP517</f>
        <v>1.4370397402427271E-3</v>
      </c>
      <c r="AS518" s="25"/>
      <c r="AT518" s="25"/>
      <c r="AU518" s="24"/>
      <c r="AV518" s="298">
        <f t="shared" ref="AV518" si="2348">+AP518/H518</f>
        <v>0.83320898078774019</v>
      </c>
      <c r="AW518" s="298"/>
      <c r="AX518" s="24">
        <f t="shared" ref="AX518" si="2349">+AP518/BW518</f>
        <v>58872.929273084483</v>
      </c>
      <c r="AY518" s="308"/>
      <c r="AZ518" s="111"/>
      <c r="BA518" s="65">
        <f t="shared" ref="BA518" si="2350">+BC518-BC517</f>
        <v>1026783</v>
      </c>
      <c r="BB518" s="66"/>
      <c r="BC518" s="66">
        <v>547648922</v>
      </c>
      <c r="BD518" s="66"/>
      <c r="BE518" s="66">
        <f t="shared" ref="BE518" si="2351">+D518</f>
        <v>101254</v>
      </c>
      <c r="BF518" s="66"/>
      <c r="BG518" s="144">
        <f t="shared" ref="BG518" si="2352">+BE518/BA518</f>
        <v>9.8612851985278291E-2</v>
      </c>
      <c r="BH518" s="66"/>
      <c r="BI518" s="170"/>
      <c r="BJ518" s="66"/>
      <c r="BK518" s="66">
        <f t="shared" ref="BK518" si="2353">SUM(BA512:BA518)</f>
        <v>8423604</v>
      </c>
      <c r="BL518" s="66"/>
      <c r="BM518" s="144">
        <f t="shared" ref="BM518" si="2354">+Q518/BK518</f>
        <v>7.845798544186075E-2</v>
      </c>
      <c r="BN518" s="65">
        <f t="shared" ref="BN518" si="2355">+BC518/BW518</f>
        <v>1075931.0844793713</v>
      </c>
      <c r="BO518" s="66"/>
      <c r="BP518" s="66">
        <f t="shared" ref="BP518" si="2356">+BP517+BE518</f>
        <v>35057974</v>
      </c>
      <c r="BQ518" s="66"/>
      <c r="BR518" s="435">
        <f t="shared" ref="BR518" si="2357">+BP518/BC518</f>
        <v>6.4015416796529362E-2</v>
      </c>
      <c r="BS518" s="66"/>
      <c r="BT518" s="75"/>
      <c r="BU518" s="170"/>
      <c r="BV518" s="1"/>
      <c r="BW518" s="61">
        <f t="shared" si="1183"/>
        <v>509</v>
      </c>
    </row>
    <row r="519" spans="2:75" x14ac:dyDescent="0.3">
      <c r="B519" s="158">
        <f t="shared" ref="B519:B532" si="2358">1+B518</f>
        <v>44419</v>
      </c>
      <c r="C519" s="61"/>
      <c r="D519" s="17">
        <v>144635</v>
      </c>
      <c r="E519" s="16"/>
      <c r="F519" s="16"/>
      <c r="G519" s="16"/>
      <c r="H519" s="16">
        <f t="shared" ref="H519" si="2359">+H518+D519</f>
        <v>36109587</v>
      </c>
      <c r="I519" s="16"/>
      <c r="J519" s="436">
        <f t="shared" ref="J519" si="2360">+D519/H518</f>
        <v>4.021554095220258E-3</v>
      </c>
      <c r="K519" s="16"/>
      <c r="L519" s="16"/>
      <c r="M519" s="16"/>
      <c r="N519" s="16">
        <f t="shared" ref="N519" si="2361">SUM(D513:D519)</f>
        <v>693255</v>
      </c>
      <c r="O519" s="16">
        <f t="shared" ref="O519" si="2362">+H519/BW519</f>
        <v>70803.111764705885</v>
      </c>
      <c r="P519" s="41"/>
      <c r="Q519" s="17">
        <f t="shared" ref="Q519" si="2363">SUM(D513:D519)</f>
        <v>693255</v>
      </c>
      <c r="R519" s="16"/>
      <c r="S519" s="60">
        <f t="shared" ref="S519" si="2364">+(Q519-Q512)/Q512</f>
        <v>0.30144006848350707</v>
      </c>
      <c r="T519" s="16"/>
      <c r="U519" s="41"/>
      <c r="V519" s="10">
        <f t="shared" si="356"/>
        <v>411</v>
      </c>
      <c r="W519" s="34">
        <v>614</v>
      </c>
      <c r="X519" s="33">
        <v>4256</v>
      </c>
      <c r="Y519" s="33"/>
      <c r="Z519" s="33">
        <f t="shared" ref="Z519" si="2365">SUM(W514:W519)</f>
        <v>2796</v>
      </c>
      <c r="AA519" s="33">
        <f t="shared" ref="AA519" si="2366">+AA518+W519</f>
        <v>617672</v>
      </c>
      <c r="AB519" s="33"/>
      <c r="AC519" s="46">
        <f t="shared" ref="AC519" si="2367">+AA519/H519</f>
        <v>1.7105485033656019E-2</v>
      </c>
      <c r="AD519" s="33"/>
      <c r="AE519" s="33">
        <f t="shared" ref="AE519" si="2368">+AA519/BW519</f>
        <v>1211.1215686274509</v>
      </c>
      <c r="AF519" s="50"/>
      <c r="AG519" s="33">
        <f t="shared" ref="AG519" si="2369">SUM(W513:W519)</f>
        <v>3355</v>
      </c>
      <c r="AH519" s="33">
        <f t="shared" ref="AH519" si="2370">SUM(D490:D938)</f>
        <v>1119300764.060914</v>
      </c>
      <c r="AI519" s="213">
        <f t="shared" ref="AI519" si="2371">+(AG519-AG512)/AG512</f>
        <v>0.28840245775729645</v>
      </c>
      <c r="AJ519" s="50"/>
      <c r="AK519" s="111"/>
      <c r="AL519" s="23">
        <f t="shared" ref="AL519" si="2372">+AP519-AP518</f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ref="AR519" si="2373">+AL519/AP518</f>
        <v>2.7945706114541054E-3</v>
      </c>
      <c r="AS519" s="25"/>
      <c r="AT519" s="25"/>
      <c r="AU519" s="24"/>
      <c r="AV519" s="298">
        <f t="shared" ref="AV519" si="2374">+AP519/H519</f>
        <v>0.83219074203202603</v>
      </c>
      <c r="AW519" s="298"/>
      <c r="AX519" s="24">
        <f t="shared" ref="AX519" si="2375">+AP519/BW519</f>
        <v>58921.694117647057</v>
      </c>
      <c r="AY519" s="308"/>
      <c r="AZ519" s="111"/>
      <c r="BA519" s="65">
        <f t="shared" ref="BA519" si="2376">+BC519-BC518</f>
        <v>3442163</v>
      </c>
      <c r="BB519" s="66"/>
      <c r="BC519" s="66">
        <v>551091085</v>
      </c>
      <c r="BD519" s="66"/>
      <c r="BE519" s="66">
        <f t="shared" ref="BE519" si="2377">+D519</f>
        <v>144635</v>
      </c>
      <c r="BF519" s="66"/>
      <c r="BG519" s="144">
        <f t="shared" ref="BG519" si="2378">+BE519/BA519</f>
        <v>4.2018637699609229E-2</v>
      </c>
      <c r="BH519" s="66"/>
      <c r="BI519" s="170"/>
      <c r="BJ519" s="66"/>
      <c r="BK519" s="66">
        <f t="shared" ref="BK519" si="2379">SUM(BA513:BA519)</f>
        <v>10708736</v>
      </c>
      <c r="BL519" s="66"/>
      <c r="BM519" s="144">
        <f t="shared" ref="BM519" si="2380">+Q519/BK519</f>
        <v>6.4737332211756829E-2</v>
      </c>
      <c r="BN519" s="65">
        <f t="shared" ref="BN519" si="2381">+BC519/BW519</f>
        <v>1080570.7549019607</v>
      </c>
      <c r="BO519" s="66"/>
      <c r="BP519" s="66">
        <f t="shared" ref="BP519" si="2382">+BP518+BE519</f>
        <v>35202609</v>
      </c>
      <c r="BQ519" s="66"/>
      <c r="BR519" s="435">
        <f t="shared" ref="BR519" si="2383">+BP519/BC519</f>
        <v>6.387802299505535E-2</v>
      </c>
      <c r="BS519" s="66"/>
      <c r="BT519" s="75"/>
      <c r="BU519" s="170"/>
      <c r="BV519" s="1"/>
      <c r="BW519" s="61">
        <f t="shared" si="1183"/>
        <v>510</v>
      </c>
    </row>
    <row r="520" spans="2:75" x14ac:dyDescent="0.3">
      <c r="B520" s="158">
        <f t="shared" si="2358"/>
        <v>44420</v>
      </c>
      <c r="C520" s="61"/>
      <c r="D520" s="17">
        <v>143537</v>
      </c>
      <c r="E520" s="16"/>
      <c r="F520" s="16"/>
      <c r="G520" s="16"/>
      <c r="H520" s="16">
        <f t="shared" ref="H520" si="2384">+H519+D520</f>
        <v>36253124</v>
      </c>
      <c r="I520" s="16"/>
      <c r="J520" s="436">
        <f t="shared" ref="J520" si="2385">+D520/H519</f>
        <v>3.975038540318946E-3</v>
      </c>
      <c r="K520" s="16"/>
      <c r="L520" s="16"/>
      <c r="M520" s="16"/>
      <c r="N520" s="16">
        <f t="shared" ref="N520" si="2386">SUM(D514:D520)</f>
        <v>715847</v>
      </c>
      <c r="O520" s="16">
        <f t="shared" ref="O520" si="2387">+H520/BW520</f>
        <v>70945.448140900189</v>
      </c>
      <c r="P520" s="41"/>
      <c r="Q520" s="17">
        <f t="shared" ref="Q520" si="2388">SUM(D514:D520)</f>
        <v>715847</v>
      </c>
      <c r="R520" s="16"/>
      <c r="S520" s="60">
        <f t="shared" ref="S520" si="2389">+(Q520-Q513)/Q513</f>
        <v>0.2578248684360806</v>
      </c>
      <c r="T520" s="16"/>
      <c r="U520" s="41"/>
      <c r="V520" s="10">
        <f t="shared" si="356"/>
        <v>412</v>
      </c>
      <c r="W520" s="34">
        <v>660</v>
      </c>
      <c r="X520" s="33">
        <v>4256</v>
      </c>
      <c r="Y520" s="33"/>
      <c r="Z520" s="33">
        <f t="shared" ref="Z520" si="2390">SUM(W515:W520)</f>
        <v>2706</v>
      </c>
      <c r="AA520" s="33">
        <f t="shared" ref="AA520" si="2391">+AA519+W520</f>
        <v>618332</v>
      </c>
      <c r="AB520" s="33"/>
      <c r="AC520" s="46">
        <f t="shared" ref="AC520" si="2392">+AA520/H520</f>
        <v>1.7055964611491135E-2</v>
      </c>
      <c r="AD520" s="33"/>
      <c r="AE520" s="33">
        <f t="shared" ref="AE520" si="2393">+AA520/BW520</f>
        <v>1210.0430528375734</v>
      </c>
      <c r="AF520" s="50"/>
      <c r="AG520" s="33">
        <f t="shared" ref="AG520" si="2394">SUM(W514:W520)</f>
        <v>3456</v>
      </c>
      <c r="AH520" s="33">
        <f t="shared" ref="AH520" si="2395">SUM(D491:D939)</f>
        <v>1119261010.060914</v>
      </c>
      <c r="AI520" s="213">
        <f t="shared" ref="AI520" si="2396">+(AG520-AG513)/AG513</f>
        <v>0.29051530993278568</v>
      </c>
      <c r="AJ520" s="50"/>
      <c r="AK520" s="111"/>
      <c r="AL520" s="23">
        <f t="shared" ref="AL520" si="2397">+AP520-AP519</f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ref="AR520" si="2398">+AL520/AP519</f>
        <v>1.5918102537152666E-3</v>
      </c>
      <c r="AS520" s="25"/>
      <c r="AT520" s="25"/>
      <c r="AU520" s="24"/>
      <c r="AV520" s="298">
        <f t="shared" ref="AV520" si="2399">+AP520/H520</f>
        <v>0.83021529399783589</v>
      </c>
      <c r="AW520" s="298"/>
      <c r="AX520" s="24">
        <f t="shared" ref="AX520" si="2400">+AP520/BW520</f>
        <v>58899.996086105675</v>
      </c>
      <c r="AY520" s="308"/>
      <c r="AZ520" s="111"/>
      <c r="BA520" s="65">
        <f t="shared" ref="BA520" si="2401">+BC520-BC519</f>
        <v>1317096</v>
      </c>
      <c r="BB520" s="66"/>
      <c r="BC520" s="66">
        <v>552408181</v>
      </c>
      <c r="BD520" s="66"/>
      <c r="BE520" s="66">
        <f t="shared" ref="BE520" si="2402">+D520</f>
        <v>143537</v>
      </c>
      <c r="BF520" s="66"/>
      <c r="BG520" s="144">
        <f t="shared" ref="BG520" si="2403">+BE520/BA520</f>
        <v>0.10897990731123623</v>
      </c>
      <c r="BH520" s="66"/>
      <c r="BI520" s="170"/>
      <c r="BJ520" s="66"/>
      <c r="BK520" s="66">
        <f t="shared" ref="BK520" si="2404">SUM(BA514:BA520)</f>
        <v>10925219</v>
      </c>
      <c r="BL520" s="66"/>
      <c r="BM520" s="144">
        <f t="shared" ref="BM520" si="2405">+Q520/BK520</f>
        <v>6.5522439412884992E-2</v>
      </c>
      <c r="BN520" s="65">
        <f t="shared" ref="BN520" si="2406">+BC520/BW520</f>
        <v>1081033.6223091977</v>
      </c>
      <c r="BO520" s="66"/>
      <c r="BP520" s="66">
        <f t="shared" ref="BP520" si="2407">+BP519+BE520</f>
        <v>35346146</v>
      </c>
      <c r="BQ520" s="66"/>
      <c r="BR520" s="435">
        <f t="shared" ref="BR520" si="2408">+BP520/BC520</f>
        <v>6.3985558533934894E-2</v>
      </c>
      <c r="BS520" s="66"/>
      <c r="BT520" s="75"/>
      <c r="BU520" s="170"/>
      <c r="BV520" s="1"/>
      <c r="BW520" s="61">
        <f t="shared" si="1183"/>
        <v>511</v>
      </c>
    </row>
    <row r="521" spans="2:75" x14ac:dyDescent="0.3">
      <c r="B521" s="158">
        <f t="shared" si="2358"/>
        <v>44421</v>
      </c>
      <c r="C521" s="61"/>
      <c r="D521" s="17">
        <v>155297</v>
      </c>
      <c r="E521" s="16"/>
      <c r="F521" s="16"/>
      <c r="G521" s="16"/>
      <c r="H521" s="16">
        <f t="shared" ref="H521" si="2409">+H520+D521</f>
        <v>36408421</v>
      </c>
      <c r="I521" s="16"/>
      <c r="J521" s="436">
        <f t="shared" ref="J521" si="2410">+D521/H520</f>
        <v>4.2836860073079495E-3</v>
      </c>
      <c r="K521" s="16"/>
      <c r="L521" s="16"/>
      <c r="M521" s="16"/>
      <c r="N521" s="16">
        <f t="shared" ref="N521" si="2411">SUM(D515:D521)</f>
        <v>740438</v>
      </c>
      <c r="O521" s="16">
        <f t="shared" ref="O521" si="2412">+H521/BW521</f>
        <v>71110.197265625</v>
      </c>
      <c r="P521" s="41"/>
      <c r="Q521" s="17">
        <f t="shared" ref="Q521" si="2413">SUM(D515:D521)</f>
        <v>740438</v>
      </c>
      <c r="R521" s="16"/>
      <c r="S521" s="60">
        <f t="shared" ref="S521" si="2414">+(Q521-Q514)/Q514</f>
        <v>0.23669543344752081</v>
      </c>
      <c r="T521" s="16"/>
      <c r="U521" s="41"/>
      <c r="V521" s="10">
        <f t="shared" si="356"/>
        <v>413</v>
      </c>
      <c r="W521" s="34">
        <v>769</v>
      </c>
      <c r="X521" s="33">
        <v>4256</v>
      </c>
      <c r="Y521" s="33"/>
      <c r="Z521" s="33">
        <f t="shared" ref="Z521" si="2415">SUM(W516:W521)</f>
        <v>3155</v>
      </c>
      <c r="AA521" s="33">
        <f t="shared" ref="AA521" si="2416">+AA520+W521</f>
        <v>619101</v>
      </c>
      <c r="AB521" s="33"/>
      <c r="AC521" s="46">
        <f t="shared" ref="AC521" si="2417">+AA521/H521</f>
        <v>1.7004335343188876E-2</v>
      </c>
      <c r="AD521" s="33"/>
      <c r="AE521" s="33">
        <f t="shared" ref="AE521" si="2418">+AA521/BW521</f>
        <v>1209.181640625</v>
      </c>
      <c r="AF521" s="50"/>
      <c r="AG521" s="33">
        <f t="shared" ref="AG521" si="2419">SUM(W515:W521)</f>
        <v>3475</v>
      </c>
      <c r="AH521" s="33">
        <f t="shared" ref="AH521" si="2420">SUM(D492:D940)</f>
        <v>1119225563.060914</v>
      </c>
      <c r="AI521" s="213">
        <f t="shared" ref="AI521" si="2421">+(AG521-AG514)/AG514</f>
        <v>0.1587195731910637</v>
      </c>
      <c r="AJ521" s="50"/>
      <c r="AK521" s="111"/>
      <c r="AL521" s="23">
        <f t="shared" ref="AL521" si="2422">+AP521-AP520</f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ref="AR521" si="2423">+AL521/AP520</f>
        <v>1.0696428036270174E-3</v>
      </c>
      <c r="AS521" s="25"/>
      <c r="AT521" s="25"/>
      <c r="AU521" s="24"/>
      <c r="AV521" s="298">
        <f t="shared" ref="AV521" si="2424">+AP521/H521</f>
        <v>0.82755832778356408</v>
      </c>
      <c r="AW521" s="298"/>
      <c r="AX521" s="24">
        <f t="shared" ref="AX521" si="2425">+AP521/BW521</f>
        <v>58847.8359375</v>
      </c>
      <c r="AY521" s="308"/>
      <c r="AZ521" s="111"/>
      <c r="BA521" s="65">
        <f t="shared" ref="BA521" si="2426">+BC521-BC520</f>
        <v>1559142</v>
      </c>
      <c r="BB521" s="66"/>
      <c r="BC521" s="66">
        <v>553967323</v>
      </c>
      <c r="BD521" s="66"/>
      <c r="BE521" s="66">
        <f t="shared" ref="BE521" si="2427">+D521</f>
        <v>155297</v>
      </c>
      <c r="BF521" s="66"/>
      <c r="BG521" s="144">
        <f t="shared" ref="BG521" si="2428">+BE521/BA521</f>
        <v>9.9604141252047598E-2</v>
      </c>
      <c r="BH521" s="66"/>
      <c r="BI521" s="170"/>
      <c r="BJ521" s="66"/>
      <c r="BK521" s="66">
        <f t="shared" ref="BK521" si="2429">SUM(BA515:BA521)</f>
        <v>11075476</v>
      </c>
      <c r="BL521" s="66"/>
      <c r="BM521" s="144">
        <f t="shared" ref="BM521" si="2430">+Q521/BK521</f>
        <v>6.6853830932413205E-2</v>
      </c>
      <c r="BN521" s="65">
        <f t="shared" ref="BN521" si="2431">+BC521/BW521</f>
        <v>1081967.427734375</v>
      </c>
      <c r="BO521" s="66"/>
      <c r="BP521" s="66">
        <f t="shared" ref="BP521" si="2432">+BP520+BE521</f>
        <v>35501443</v>
      </c>
      <c r="BQ521" s="66"/>
      <c r="BR521" s="435">
        <f t="shared" ref="BR521" si="2433">+BP521/BC521</f>
        <v>6.408580709732585E-2</v>
      </c>
      <c r="BS521" s="66"/>
      <c r="BT521" s="75"/>
      <c r="BU521" s="170"/>
      <c r="BV521" s="1"/>
      <c r="BW521" s="61">
        <f t="shared" si="1183"/>
        <v>512</v>
      </c>
    </row>
    <row r="522" spans="2:75" x14ac:dyDescent="0.3">
      <c r="B522" s="158">
        <f t="shared" si="2358"/>
        <v>44422</v>
      </c>
      <c r="C522" s="61"/>
      <c r="D522" s="17">
        <v>71135</v>
      </c>
      <c r="E522" s="16"/>
      <c r="F522" s="16"/>
      <c r="G522" s="16"/>
      <c r="H522" s="16">
        <f t="shared" ref="H522" si="2434">+H521+D522</f>
        <v>36479556</v>
      </c>
      <c r="I522" s="16"/>
      <c r="J522" s="436">
        <f t="shared" ref="J522" si="2435">+D522/H521</f>
        <v>1.953806236200136E-3</v>
      </c>
      <c r="K522" s="16"/>
      <c r="L522" s="16"/>
      <c r="M522" s="16"/>
      <c r="N522" s="16">
        <f t="shared" ref="N522" si="2436">SUM(D516:D522)</f>
        <v>742623</v>
      </c>
      <c r="O522" s="16">
        <f t="shared" ref="O522" si="2437">+H522/BW522</f>
        <v>71110.245614035084</v>
      </c>
      <c r="P522" s="41"/>
      <c r="Q522" s="17">
        <f t="shared" ref="Q522" si="2438">SUM(D516:D522)</f>
        <v>742623</v>
      </c>
      <c r="R522" s="16"/>
      <c r="S522" s="60">
        <f t="shared" ref="S522" si="2439">+(Q522-Q515)/Q515</f>
        <v>0.20599732044983962</v>
      </c>
      <c r="T522" s="16"/>
      <c r="U522" s="41"/>
      <c r="V522" s="10">
        <f t="shared" si="356"/>
        <v>414</v>
      </c>
      <c r="W522" s="34">
        <v>258</v>
      </c>
      <c r="X522" s="33">
        <v>4256</v>
      </c>
      <c r="Y522" s="33"/>
      <c r="Z522" s="33">
        <f t="shared" ref="Z522" si="2440">SUM(W517:W522)</f>
        <v>3284</v>
      </c>
      <c r="AA522" s="33">
        <f t="shared" ref="AA522" si="2441">+AA521+W522</f>
        <v>619359</v>
      </c>
      <c r="AB522" s="33"/>
      <c r="AC522" s="46">
        <f t="shared" ref="AC522" si="2442">+AA522/H522</f>
        <v>1.6978249406325013E-2</v>
      </c>
      <c r="AD522" s="33"/>
      <c r="AE522" s="33">
        <f t="shared" ref="AE522" si="2443">+AA522/BW522</f>
        <v>1207.327485380117</v>
      </c>
      <c r="AF522" s="50"/>
      <c r="AG522" s="33">
        <f t="shared" ref="AG522" si="2444">SUM(W516:W522)</f>
        <v>3413</v>
      </c>
      <c r="AH522" s="33">
        <f t="shared" ref="AH522" si="2445">SUM(D493:D941)</f>
        <v>1119188889.060914</v>
      </c>
      <c r="AI522" s="213">
        <f t="shared" ref="AI522" si="2446">+(AG522-AG515)/AG515</f>
        <v>0.10883690708252111</v>
      </c>
      <c r="AJ522" s="50"/>
      <c r="AK522" s="111"/>
      <c r="AL522" s="23">
        <f t="shared" ref="AL522" si="2447">+AP522-AP521</f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ref="AR522" si="2448">+AL522/AP521</f>
        <v>4.8181067618379656E-4</v>
      </c>
      <c r="AS522" s="25"/>
      <c r="AT522" s="25"/>
      <c r="AU522" s="24"/>
      <c r="AV522" s="298">
        <f t="shared" ref="AV522" si="2449">+AP522/H522</f>
        <v>0.82634254101118998</v>
      </c>
      <c r="AW522" s="298"/>
      <c r="AX522" s="24">
        <f t="shared" ref="AX522" si="2450">+AP522/BW522</f>
        <v>58761.42105263158</v>
      </c>
      <c r="AY522" s="308"/>
      <c r="AZ522" s="111"/>
      <c r="BA522" s="65">
        <f t="shared" ref="BA522" si="2451">+BC522-BC521</f>
        <v>775678</v>
      </c>
      <c r="BB522" s="66"/>
      <c r="BC522" s="66">
        <v>554743001</v>
      </c>
      <c r="BD522" s="66"/>
      <c r="BE522" s="66">
        <f t="shared" ref="BE522" si="2452">+D522</f>
        <v>71135</v>
      </c>
      <c r="BF522" s="66"/>
      <c r="BG522" s="144">
        <f t="shared" ref="BG522" si="2453">+BE522/BA522</f>
        <v>9.1706868056074808E-2</v>
      </c>
      <c r="BH522" s="66"/>
      <c r="BI522" s="170"/>
      <c r="BJ522" s="66"/>
      <c r="BK522" s="66">
        <f t="shared" ref="BK522" si="2454">SUM(BA516:BA522)</f>
        <v>11014420</v>
      </c>
      <c r="BL522" s="66"/>
      <c r="BM522" s="144">
        <f t="shared" ref="BM522" si="2455">+Q522/BK522</f>
        <v>6.7422796661104262E-2</v>
      </c>
      <c r="BN522" s="65">
        <f t="shared" ref="BN522" si="2456">+BC522/BW522</f>
        <v>1081370.3723196881</v>
      </c>
      <c r="BO522" s="66"/>
      <c r="BP522" s="66">
        <f t="shared" ref="BP522" si="2457">+BP521+BE522</f>
        <v>35572578</v>
      </c>
      <c r="BQ522" s="66"/>
      <c r="BR522" s="435">
        <f t="shared" ref="BR522" si="2458">+BP522/BC522</f>
        <v>6.4124428673954556E-2</v>
      </c>
      <c r="BS522" s="66"/>
      <c r="BT522" s="75"/>
      <c r="BU522" s="170"/>
      <c r="BV522" s="1"/>
      <c r="BW522" s="61">
        <f t="shared" si="1183"/>
        <v>513</v>
      </c>
    </row>
    <row r="523" spans="2:75" x14ac:dyDescent="0.3">
      <c r="B523" s="347">
        <f t="shared" si="2358"/>
        <v>44423</v>
      </c>
      <c r="C523" s="61"/>
      <c r="D523" s="17">
        <v>30883</v>
      </c>
      <c r="E523" s="16"/>
      <c r="F523" s="16"/>
      <c r="G523" s="16"/>
      <c r="H523" s="16">
        <f t="shared" ref="H523" si="2459">+H522+D523</f>
        <v>36510439</v>
      </c>
      <c r="I523" s="16"/>
      <c r="J523" s="436">
        <f t="shared" ref="J523" si="2460">+D523/H522</f>
        <v>8.4658376872788694E-4</v>
      </c>
      <c r="K523" s="16"/>
      <c r="L523" s="16"/>
      <c r="M523" s="16"/>
      <c r="N523" s="16">
        <f t="shared" ref="N523" si="2461">SUM(D517:D523)</f>
        <v>749116</v>
      </c>
      <c r="O523" s="16">
        <f t="shared" ref="O523" si="2462">+H523/BW523</f>
        <v>71031.982490272378</v>
      </c>
      <c r="P523" s="41"/>
      <c r="Q523" s="17">
        <f t="shared" ref="Q523" si="2463">SUM(D517:D523)</f>
        <v>749116</v>
      </c>
      <c r="R523" s="16"/>
      <c r="S523" s="60">
        <f t="shared" ref="S523" si="2464">+(Q523-Q516)/Q516</f>
        <v>0.21138362572910283</v>
      </c>
      <c r="T523" s="16"/>
      <c r="U523" s="41"/>
      <c r="V523" s="10">
        <f t="shared" si="356"/>
        <v>415</v>
      </c>
      <c r="W523" s="34">
        <v>122</v>
      </c>
      <c r="X523" s="33">
        <v>4256</v>
      </c>
      <c r="Y523" s="33"/>
      <c r="Z523" s="33">
        <f t="shared" ref="Z523" si="2465">SUM(W518:W523)</f>
        <v>3080</v>
      </c>
      <c r="AA523" s="33">
        <f t="shared" ref="AA523" si="2466">+AA522+W523</f>
        <v>619481</v>
      </c>
      <c r="AB523" s="33"/>
      <c r="AC523" s="46">
        <f t="shared" ref="AC523" si="2467">+AA523/H523</f>
        <v>1.6967229564125483E-2</v>
      </c>
      <c r="AD523" s="33"/>
      <c r="AE523" s="33">
        <f t="shared" ref="AE523" si="2468">+AA523/BW523</f>
        <v>1205.215953307393</v>
      </c>
      <c r="AF523" s="50"/>
      <c r="AG523" s="33">
        <f t="shared" ref="AG523" si="2469">SUM(W517:W523)</f>
        <v>3406</v>
      </c>
      <c r="AH523" s="33">
        <f t="shared" ref="AH523" si="2470">SUM(D494:D942)</f>
        <v>1119148360.060914</v>
      </c>
      <c r="AI523" s="213">
        <f t="shared" ref="AI523" si="2471">+(AG523-AG516)/AG516</f>
        <v>8.3678014635698378E-2</v>
      </c>
      <c r="AJ523" s="50"/>
      <c r="AK523" s="111"/>
      <c r="AL523" s="23">
        <f t="shared" ref="AL523" si="2472">+AP523-AP522</f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ref="AR523" si="2473">+AL523/AP522</f>
        <v>2.9746612404227903E-4</v>
      </c>
      <c r="AS523" s="25"/>
      <c r="AT523" s="25"/>
      <c r="AU523" s="24"/>
      <c r="AV523" s="298">
        <f t="shared" ref="AV523" si="2474">+AP523/H523</f>
        <v>0.82588916556166303</v>
      </c>
      <c r="AW523" s="298"/>
      <c r="AX523" s="24">
        <f t="shared" ref="AX523" si="2475">+AP523/BW523</f>
        <v>58664.544747081709</v>
      </c>
      <c r="AY523" s="308"/>
      <c r="AZ523" s="111"/>
      <c r="BA523" s="65">
        <f t="shared" ref="BA523" si="2476">+BC523-BC522</f>
        <v>690474</v>
      </c>
      <c r="BB523" s="66"/>
      <c r="BC523" s="66">
        <v>555433475</v>
      </c>
      <c r="BD523" s="66"/>
      <c r="BE523" s="66">
        <f t="shared" ref="BE523" si="2477">+D523</f>
        <v>30883</v>
      </c>
      <c r="BF523" s="66"/>
      <c r="BG523" s="144">
        <f t="shared" ref="BG523" si="2478">+BE523/BA523</f>
        <v>4.4727245341605909E-2</v>
      </c>
      <c r="BH523" s="66"/>
      <c r="BI523" s="170"/>
      <c r="BJ523" s="66"/>
      <c r="BK523" s="66">
        <f t="shared" ref="BK523" si="2479">SUM(BA517:BA523)</f>
        <v>11052013</v>
      </c>
      <c r="BL523" s="66"/>
      <c r="BM523" s="144">
        <f t="shared" ref="BM523" si="2480">+Q523/BK523</f>
        <v>6.7780955378897945E-2</v>
      </c>
      <c r="BN523" s="65">
        <f t="shared" ref="BN523" si="2481">+BC523/BW523</f>
        <v>1080609.8735408559</v>
      </c>
      <c r="BO523" s="66"/>
      <c r="BP523" s="66">
        <f t="shared" ref="BP523" si="2482">+BP522+BE523</f>
        <v>35603461</v>
      </c>
      <c r="BQ523" s="66"/>
      <c r="BR523" s="435">
        <f t="shared" ref="BR523" si="2483">+BP523/BC523</f>
        <v>6.4100315523834786E-2</v>
      </c>
      <c r="BS523" s="66"/>
      <c r="BT523" s="75"/>
      <c r="BU523" s="170"/>
      <c r="BV523" s="1"/>
      <c r="BW523" s="61">
        <f t="shared" si="1183"/>
        <v>514</v>
      </c>
    </row>
    <row r="524" spans="2:75" x14ac:dyDescent="0.3">
      <c r="B524" s="158">
        <f t="shared" si="2358"/>
        <v>44424</v>
      </c>
      <c r="C524" s="61"/>
      <c r="D524" s="17">
        <v>103697</v>
      </c>
      <c r="E524" s="16"/>
      <c r="F524" s="16"/>
      <c r="G524" s="16"/>
      <c r="H524" s="16">
        <f t="shared" ref="H524" si="2484">+H523+D524</f>
        <v>36614136</v>
      </c>
      <c r="I524" s="16"/>
      <c r="J524" s="436">
        <f t="shared" ref="J524" si="2485">+D524/H523</f>
        <v>2.8402014010294424E-3</v>
      </c>
      <c r="K524" s="16"/>
      <c r="L524" s="16"/>
      <c r="M524" s="16"/>
      <c r="N524" s="16">
        <f t="shared" ref="N524" si="2486">SUM(D518:D524)</f>
        <v>750438</v>
      </c>
      <c r="O524" s="16">
        <f t="shared" ref="O524" si="2487">+H524/BW524</f>
        <v>71095.409708737861</v>
      </c>
      <c r="P524" s="41"/>
      <c r="Q524" s="17">
        <f t="shared" ref="Q524" si="2488">SUM(D518:D524)</f>
        <v>750438</v>
      </c>
      <c r="R524" s="16"/>
      <c r="S524" s="60">
        <f t="shared" ref="S524" si="2489">+(Q524-Q517)/Q517</f>
        <v>0.12949219073363605</v>
      </c>
      <c r="T524" s="16"/>
      <c r="U524" s="41"/>
      <c r="V524" s="10">
        <f t="shared" si="356"/>
        <v>416</v>
      </c>
      <c r="W524" s="34">
        <v>308</v>
      </c>
      <c r="X524" s="33">
        <v>4256</v>
      </c>
      <c r="Y524" s="33"/>
      <c r="Z524" s="33">
        <f t="shared" ref="Z524" si="2490">SUM(W519:W524)</f>
        <v>2731</v>
      </c>
      <c r="AA524" s="33">
        <f t="shared" ref="AA524" si="2491">+AA523+W524</f>
        <v>619789</v>
      </c>
      <c r="AB524" s="33"/>
      <c r="AC524" s="46">
        <f t="shared" ref="AC524" si="2492">+AA524/H524</f>
        <v>1.692758774916879E-2</v>
      </c>
      <c r="AD524" s="33"/>
      <c r="AE524" s="33">
        <f t="shared" ref="AE524" si="2493">+AA524/BW524</f>
        <v>1203.473786407767</v>
      </c>
      <c r="AF524" s="50"/>
      <c r="AG524" s="33">
        <f t="shared" ref="AG524" si="2494">SUM(W518:W524)</f>
        <v>3388</v>
      </c>
      <c r="AH524" s="33">
        <f t="shared" ref="AH524" si="2495">SUM(D495:D943)</f>
        <v>1119124279.060914</v>
      </c>
      <c r="AI524" s="213">
        <f t="shared" ref="AI524" si="2496">+(AG524-AG517)/AG517</f>
        <v>4.0540540540540543E-2</v>
      </c>
      <c r="AJ524" s="50"/>
      <c r="AK524" s="111"/>
      <c r="AL524" s="23">
        <f t="shared" ref="AL524" si="2497">+AP524-AP523</f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ref="AR524" si="2498">+AL524/AP523</f>
        <v>2.4450168033138091E-3</v>
      </c>
      <c r="AS524" s="25"/>
      <c r="AT524" s="25"/>
      <c r="AU524" s="24"/>
      <c r="AV524" s="298">
        <f t="shared" ref="AV524" si="2499">+AP524/H524</f>
        <v>0.82556371123983374</v>
      </c>
      <c r="AW524" s="298"/>
      <c r="AX524" s="24">
        <f t="shared" ref="AX524" si="2500">+AP524/BW524</f>
        <v>58693.790291262136</v>
      </c>
      <c r="AY524" s="308"/>
      <c r="AZ524" s="111"/>
      <c r="BA524" s="65">
        <f t="shared" ref="BA524" si="2501">+BC524-BC523</f>
        <v>2711353</v>
      </c>
      <c r="BB524" s="66"/>
      <c r="BC524" s="66">
        <v>558144828</v>
      </c>
      <c r="BD524" s="66"/>
      <c r="BE524" s="66">
        <f t="shared" ref="BE524" si="2502">+D524</f>
        <v>103697</v>
      </c>
      <c r="BF524" s="66"/>
      <c r="BG524" s="144">
        <f t="shared" ref="BG524" si="2503">+BE524/BA524</f>
        <v>3.824548113063847E-2</v>
      </c>
      <c r="BH524" s="66"/>
      <c r="BI524" s="170"/>
      <c r="BJ524" s="66"/>
      <c r="BK524" s="66">
        <f t="shared" ref="BK524" si="2504">SUM(BA518:BA524)</f>
        <v>11522689</v>
      </c>
      <c r="BL524" s="66"/>
      <c r="BM524" s="144">
        <f t="shared" ref="BM524" si="2505">+Q524/BK524</f>
        <v>6.5126985549987512E-2</v>
      </c>
      <c r="BN524" s="65">
        <f t="shared" ref="BN524" si="2506">+BC524/BW524</f>
        <v>1083776.3650485438</v>
      </c>
      <c r="BO524" s="66"/>
      <c r="BP524" s="66">
        <f t="shared" ref="BP524" si="2507">+BP523+BE524</f>
        <v>35707158</v>
      </c>
      <c r="BQ524" s="66"/>
      <c r="BR524" s="435">
        <f t="shared" ref="BR524" si="2508">+BP524/BC524</f>
        <v>6.3974718045761408E-2</v>
      </c>
      <c r="BS524" s="66"/>
      <c r="BT524" s="75"/>
      <c r="BU524" s="170"/>
      <c r="BV524" s="1"/>
      <c r="BW524" s="61">
        <f t="shared" si="1183"/>
        <v>515</v>
      </c>
    </row>
    <row r="525" spans="2:75" x14ac:dyDescent="0.3">
      <c r="B525" s="158">
        <f t="shared" si="2358"/>
        <v>44425</v>
      </c>
      <c r="C525" s="61"/>
      <c r="D525" s="17">
        <v>144294</v>
      </c>
      <c r="E525" s="16"/>
      <c r="F525" s="16"/>
      <c r="G525" s="16"/>
      <c r="H525" s="16">
        <f t="shared" ref="H525" si="2509">+H524+D525</f>
        <v>36758430</v>
      </c>
      <c r="I525" s="16"/>
      <c r="J525" s="436">
        <f t="shared" ref="J525" si="2510">+D525/H524</f>
        <v>3.9409369102687553E-3</v>
      </c>
      <c r="K525" s="16"/>
      <c r="L525" s="16"/>
      <c r="M525" s="16"/>
      <c r="N525" s="16">
        <f t="shared" ref="N525" si="2511">SUM(D519:D525)</f>
        <v>793478</v>
      </c>
      <c r="O525" s="16">
        <f t="shared" ref="O525" si="2512">+H525/BW525</f>
        <v>71237.267441860458</v>
      </c>
      <c r="P525" s="41"/>
      <c r="Q525" s="17">
        <f t="shared" ref="Q525" si="2513">SUM(D519:D525)</f>
        <v>793478</v>
      </c>
      <c r="R525" s="16"/>
      <c r="S525" s="60">
        <f t="shared" ref="S525" si="2514">+(Q525-Q518)/Q518</f>
        <v>0.2006040257285909</v>
      </c>
      <c r="T525" s="16"/>
      <c r="U525" s="41"/>
      <c r="V525" s="10">
        <f t="shared" si="356"/>
        <v>417</v>
      </c>
      <c r="W525" s="34">
        <v>945</v>
      </c>
      <c r="X525" s="33">
        <v>4256</v>
      </c>
      <c r="Y525" s="33"/>
      <c r="Z525" s="33">
        <f t="shared" ref="Z525" si="2515">SUM(W520:W525)</f>
        <v>3062</v>
      </c>
      <c r="AA525" s="33">
        <f t="shared" ref="AA525" si="2516">+AA524+W525</f>
        <v>620734</v>
      </c>
      <c r="AB525" s="33"/>
      <c r="AC525" s="46">
        <f t="shared" ref="AC525" si="2517">+AA525/H525</f>
        <v>1.6886847452407514E-2</v>
      </c>
      <c r="AD525" s="33"/>
      <c r="AE525" s="33">
        <f t="shared" ref="AE525" si="2518">+AA525/BW525</f>
        <v>1202.9728682170542</v>
      </c>
      <c r="AF525" s="50"/>
      <c r="AG525" s="33">
        <f t="shared" ref="AG525" si="2519">SUM(W519:W525)</f>
        <v>3676</v>
      </c>
      <c r="AH525" s="33">
        <f t="shared" ref="AH525" si="2520">SUM(D496:D944)</f>
        <v>1119102001.060914</v>
      </c>
      <c r="AI525" s="213">
        <f t="shared" ref="AI525" si="2521">+(AG525-AG518)/AG518</f>
        <v>8.2131292316750079E-2</v>
      </c>
      <c r="AJ525" s="50"/>
      <c r="AK525" s="111"/>
      <c r="AL525" s="23">
        <f t="shared" ref="AL525" si="2522">+AP525-AP524</f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ref="AR525" si="2523">+AL525/AP524</f>
        <v>2.159736254330605E-3</v>
      </c>
      <c r="AS525" s="25"/>
      <c r="AT525" s="25"/>
      <c r="AU525" s="24"/>
      <c r="AV525" s="298">
        <f t="shared" ref="AV525" si="2524">+AP525/H525</f>
        <v>0.82409898899381717</v>
      </c>
      <c r="AW525" s="298"/>
      <c r="AX525" s="24">
        <f t="shared" ref="AX525" si="2525">+AP525/BW525</f>
        <v>58706.560077519382</v>
      </c>
      <c r="AY525" s="308"/>
      <c r="AZ525" s="111"/>
      <c r="BA525" s="65">
        <f t="shared" ref="BA525" si="2526">+BC525-BC524</f>
        <v>2301291</v>
      </c>
      <c r="BB525" s="66"/>
      <c r="BC525" s="66">
        <v>560446119</v>
      </c>
      <c r="BD525" s="66"/>
      <c r="BE525" s="66">
        <f t="shared" ref="BE525" si="2527">+D525</f>
        <v>144294</v>
      </c>
      <c r="BF525" s="66"/>
      <c r="BG525" s="144">
        <f t="shared" ref="BG525" si="2528">+BE525/BA525</f>
        <v>6.2701327211552124E-2</v>
      </c>
      <c r="BH525" s="66"/>
      <c r="BI525" s="170"/>
      <c r="BJ525" s="66"/>
      <c r="BK525" s="66">
        <f t="shared" ref="BK525" si="2529">SUM(BA519:BA525)</f>
        <v>12797197</v>
      </c>
      <c r="BL525" s="66"/>
      <c r="BM525" s="144">
        <f t="shared" ref="BM525" si="2530">+Q525/BK525</f>
        <v>6.2004046667406935E-2</v>
      </c>
      <c r="BN525" s="65">
        <f t="shared" ref="BN525" si="2531">+BC525/BW525</f>
        <v>1086135.8895348837</v>
      </c>
      <c r="BO525" s="66"/>
      <c r="BP525" s="66">
        <f t="shared" ref="BP525" si="2532">+BP524+BE525</f>
        <v>35851452</v>
      </c>
      <c r="BQ525" s="66"/>
      <c r="BR525" s="435">
        <f t="shared" ref="BR525" si="2533">+BP525/BC525</f>
        <v>6.3969489277523217E-2</v>
      </c>
      <c r="BS525" s="66"/>
      <c r="BT525" s="75"/>
      <c r="BU525" s="170"/>
      <c r="BV525" s="1"/>
      <c r="BW525" s="61">
        <f t="shared" si="1183"/>
        <v>516</v>
      </c>
    </row>
    <row r="526" spans="2:75" x14ac:dyDescent="0.3">
      <c r="B526" s="158">
        <f t="shared" si="2358"/>
        <v>44426</v>
      </c>
      <c r="C526" s="61"/>
      <c r="D526" s="17">
        <v>158127</v>
      </c>
      <c r="E526" s="16"/>
      <c r="F526" s="16"/>
      <c r="G526" s="16"/>
      <c r="H526" s="16">
        <f t="shared" ref="H526" si="2534">+H525+D526</f>
        <v>36916557</v>
      </c>
      <c r="I526" s="16"/>
      <c r="J526" s="436">
        <f t="shared" ref="J526" si="2535">+D526/H525</f>
        <v>4.3017887325437999E-3</v>
      </c>
      <c r="K526" s="16"/>
      <c r="L526" s="16"/>
      <c r="M526" s="16"/>
      <c r="N526" s="16">
        <f t="shared" ref="N526" si="2536">SUM(D520:D526)</f>
        <v>806970</v>
      </c>
      <c r="O526" s="16">
        <f t="shared" ref="O526" si="2537">+H526/BW526</f>
        <v>71405.332688588009</v>
      </c>
      <c r="P526" s="41"/>
      <c r="Q526" s="17">
        <f t="shared" ref="Q526" si="2538">SUM(D520:D526)</f>
        <v>806970</v>
      </c>
      <c r="R526" s="16"/>
      <c r="S526" s="60">
        <f t="shared" ref="S526" si="2539">+(Q526-Q519)/Q519</f>
        <v>0.16403055152865828</v>
      </c>
      <c r="T526" s="16"/>
      <c r="U526" s="41"/>
      <c r="V526" s="10">
        <f t="shared" si="356"/>
        <v>418</v>
      </c>
      <c r="W526" s="34">
        <v>1127</v>
      </c>
      <c r="X526" s="33">
        <v>4256</v>
      </c>
      <c r="Y526" s="33"/>
      <c r="Z526" s="33">
        <f t="shared" ref="Z526" si="2540">SUM(W521:W526)</f>
        <v>3529</v>
      </c>
      <c r="AA526" s="33">
        <f t="shared" ref="AA526" si="2541">+AA525+W526</f>
        <v>621861</v>
      </c>
      <c r="AB526" s="33"/>
      <c r="AC526" s="46">
        <f t="shared" ref="AC526" si="2542">+AA526/H526</f>
        <v>1.6845043268796708E-2</v>
      </c>
      <c r="AD526" s="33"/>
      <c r="AE526" s="33">
        <f t="shared" ref="AE526" si="2543">+AA526/BW526</f>
        <v>1202.825918762089</v>
      </c>
      <c r="AF526" s="50"/>
      <c r="AG526" s="33">
        <f t="shared" ref="AG526" si="2544">SUM(W520:W526)</f>
        <v>4189</v>
      </c>
      <c r="AH526" s="33">
        <f t="shared" ref="AH526" si="2545">SUM(D497:D945)</f>
        <v>1119069425.060914</v>
      </c>
      <c r="AI526" s="213">
        <f t="shared" ref="AI526" si="2546">+(AG526-AG519)/AG519</f>
        <v>0.24858420268256334</v>
      </c>
      <c r="AJ526" s="50"/>
      <c r="AK526" s="111"/>
      <c r="AL526" s="23">
        <f t="shared" ref="AL526" si="2547">+AP526-AP525</f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ref="AR526" si="2548">+AL526/AP525</f>
        <v>1.6274939890405524E-3</v>
      </c>
      <c r="AS526" s="25"/>
      <c r="AT526" s="25"/>
      <c r="AU526" s="24"/>
      <c r="AV526" s="298">
        <f t="shared" ref="AV526" si="2549">+AP526/H526</f>
        <v>0.82190454543201308</v>
      </c>
      <c r="AW526" s="298"/>
      <c r="AX526" s="24">
        <f t="shared" ref="AX526" si="2550">+AP526/BW526</f>
        <v>58688.367504835587</v>
      </c>
      <c r="AY526" s="308"/>
      <c r="AZ526" s="111"/>
      <c r="BA526" s="65">
        <f t="shared" ref="BA526" si="2551">+BC526-BC525</f>
        <v>1381861</v>
      </c>
      <c r="BB526" s="66"/>
      <c r="BC526" s="66">
        <v>561827980</v>
      </c>
      <c r="BD526" s="66"/>
      <c r="BE526" s="66">
        <f t="shared" ref="BE526" si="2552">+D526</f>
        <v>158127</v>
      </c>
      <c r="BF526" s="66"/>
      <c r="BG526" s="144">
        <f t="shared" ref="BG526" si="2553">+BE526/BA526</f>
        <v>0.11443046731907189</v>
      </c>
      <c r="BH526" s="66"/>
      <c r="BI526" s="170"/>
      <c r="BJ526" s="66"/>
      <c r="BK526" s="66">
        <f t="shared" ref="BK526" si="2554">SUM(BA520:BA526)</f>
        <v>10736895</v>
      </c>
      <c r="BL526" s="66"/>
      <c r="BM526" s="144">
        <f t="shared" ref="BM526" si="2555">+Q526/BK526</f>
        <v>7.5158600321601363E-2</v>
      </c>
      <c r="BN526" s="65">
        <f t="shared" ref="BN526" si="2556">+BC526/BW526</f>
        <v>1086707.8916827852</v>
      </c>
      <c r="BO526" s="66"/>
      <c r="BP526" s="66">
        <f t="shared" ref="BP526" si="2557">+BP525+BE526</f>
        <v>36009579</v>
      </c>
      <c r="BQ526" s="66"/>
      <c r="BR526" s="435">
        <f t="shared" ref="BR526" si="2558">+BP526/BC526</f>
        <v>6.4093602102195057E-2</v>
      </c>
      <c r="BS526" s="66"/>
      <c r="BT526" s="75"/>
      <c r="BU526" s="170"/>
      <c r="BV526" s="1"/>
      <c r="BW526" s="61">
        <f t="shared" si="1183"/>
        <v>517</v>
      </c>
    </row>
    <row r="527" spans="2:75" x14ac:dyDescent="0.3">
      <c r="B527" s="158">
        <f t="shared" si="2358"/>
        <v>44427</v>
      </c>
      <c r="C527" s="61"/>
      <c r="D527" s="17">
        <v>154917</v>
      </c>
      <c r="E527" s="16"/>
      <c r="F527" s="16"/>
      <c r="G527" s="16"/>
      <c r="H527" s="16">
        <f t="shared" ref="H527" si="2559">+H526+D527</f>
        <v>37071474</v>
      </c>
      <c r="I527" s="16"/>
      <c r="J527" s="436">
        <f t="shared" ref="J527" si="2560">+D527/H526</f>
        <v>4.1964097572804527E-3</v>
      </c>
      <c r="K527" s="16"/>
      <c r="L527" s="16"/>
      <c r="M527" s="16"/>
      <c r="N527" s="16">
        <f t="shared" ref="N527" si="2561">SUM(D521:D527)</f>
        <v>818350</v>
      </c>
      <c r="O527" s="16">
        <f t="shared" ref="O527" si="2562">+H527/BW527</f>
        <v>71566.55212355213</v>
      </c>
      <c r="P527" s="41"/>
      <c r="Q527" s="17">
        <f t="shared" ref="Q527" si="2563">SUM(D521:D527)</f>
        <v>818350</v>
      </c>
      <c r="R527" s="16"/>
      <c r="S527" s="60">
        <f t="shared" ref="S527" si="2564">+(Q527-Q520)/Q520</f>
        <v>0.14319121264739532</v>
      </c>
      <c r="T527" s="16"/>
      <c r="U527" s="41"/>
      <c r="V527" s="10">
        <f t="shared" si="356"/>
        <v>419</v>
      </c>
      <c r="W527" s="34">
        <v>967</v>
      </c>
      <c r="X527" s="33">
        <v>4256</v>
      </c>
      <c r="Y527" s="33"/>
      <c r="Z527" s="33">
        <f t="shared" ref="Z527" si="2565">SUM(W522:W527)</f>
        <v>3727</v>
      </c>
      <c r="AA527" s="33">
        <f t="shared" ref="AA527" si="2566">+AA526+W527</f>
        <v>622828</v>
      </c>
      <c r="AB527" s="33"/>
      <c r="AC527" s="46">
        <f t="shared" ref="AC527" si="2567">+AA527/H527</f>
        <v>1.6800734710467675E-2</v>
      </c>
      <c r="AD527" s="33"/>
      <c r="AE527" s="33">
        <f t="shared" ref="AE527" si="2568">+AA527/BW527</f>
        <v>1202.3706563706564</v>
      </c>
      <c r="AF527" s="50"/>
      <c r="AG527" s="33">
        <f t="shared" ref="AG527" si="2569">SUM(W521:W527)</f>
        <v>4496</v>
      </c>
      <c r="AH527" s="33">
        <f t="shared" ref="AH527" si="2570">SUM(D498:D946)</f>
        <v>1119025193.060914</v>
      </c>
      <c r="AI527" s="213">
        <f t="shared" ref="AI527" si="2571">+(AG527-AG520)/AG520</f>
        <v>0.30092592592592593</v>
      </c>
      <c r="AJ527" s="50"/>
      <c r="AK527" s="111"/>
      <c r="AL527" s="23">
        <f t="shared" ref="AL527" si="2572">+AP527-AP526</f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ref="AR527" si="2573">+AL527/AP526</f>
        <v>1.6077774466623466E-3</v>
      </c>
      <c r="AS527" s="25"/>
      <c r="AT527" s="25"/>
      <c r="AU527" s="24"/>
      <c r="AV527" s="298">
        <f t="shared" ref="AV527" si="2574">+AP527/H527</f>
        <v>0.81978582777690467</v>
      </c>
      <c r="AW527" s="298"/>
      <c r="AX527" s="24">
        <f t="shared" ref="AX527" si="2575">+AP527/BW527</f>
        <v>58669.24517374517</v>
      </c>
      <c r="AY527" s="308"/>
      <c r="AZ527" s="111"/>
      <c r="BA527" s="65">
        <f t="shared" ref="BA527" si="2576">+BC527-BC526</f>
        <v>1539485</v>
      </c>
      <c r="BB527" s="66"/>
      <c r="BC527" s="66">
        <v>563367465</v>
      </c>
      <c r="BD527" s="66"/>
      <c r="BE527" s="66">
        <f t="shared" ref="BE527" si="2577">+D527</f>
        <v>154917</v>
      </c>
      <c r="BF527" s="66"/>
      <c r="BG527" s="144">
        <f t="shared" ref="BG527" si="2578">+BE527/BA527</f>
        <v>0.10062910648690958</v>
      </c>
      <c r="BH527" s="66"/>
      <c r="BI527" s="170"/>
      <c r="BJ527" s="66"/>
      <c r="BK527" s="66">
        <f t="shared" ref="BK527" si="2579">SUM(BA521:BA527)</f>
        <v>10959284</v>
      </c>
      <c r="BL527" s="66"/>
      <c r="BM527" s="144">
        <f t="shared" ref="BM527" si="2580">+Q527/BK527</f>
        <v>7.4671849000354409E-2</v>
      </c>
      <c r="BN527" s="65">
        <f t="shared" ref="BN527" si="2581">+BC527/BW527</f>
        <v>1087581.9787644788</v>
      </c>
      <c r="BO527" s="66"/>
      <c r="BP527" s="66">
        <f t="shared" ref="BP527" si="2582">+BP526+BE527</f>
        <v>36164496</v>
      </c>
      <c r="BQ527" s="66"/>
      <c r="BR527" s="435">
        <f t="shared" ref="BR527" si="2583">+BP527/BC527</f>
        <v>6.4193440776705135E-2</v>
      </c>
      <c r="BS527" s="66"/>
      <c r="BT527" s="75"/>
      <c r="BU527" s="170"/>
      <c r="BV527" s="1"/>
      <c r="BW527" s="61">
        <f t="shared" si="1183"/>
        <v>518</v>
      </c>
    </row>
    <row r="528" spans="2:75" x14ac:dyDescent="0.3">
      <c r="B528" s="158">
        <f t="shared" si="2358"/>
        <v>44428</v>
      </c>
      <c r="C528" s="61"/>
      <c r="D528" s="17">
        <v>151108</v>
      </c>
      <c r="E528" s="16"/>
      <c r="F528" s="16"/>
      <c r="G528" s="16"/>
      <c r="H528" s="16">
        <f t="shared" ref="H528" si="2584">+H527+D528</f>
        <v>37222582</v>
      </c>
      <c r="I528" s="16"/>
      <c r="J528" s="436">
        <f t="shared" ref="J528" si="2585">+D528/H527</f>
        <v>4.076126026173116E-3</v>
      </c>
      <c r="K528" s="16"/>
      <c r="L528" s="16"/>
      <c r="M528" s="16"/>
      <c r="N528" s="16">
        <f t="shared" ref="N528" si="2586">SUM(D522:D528)</f>
        <v>814161</v>
      </c>
      <c r="O528" s="16">
        <f t="shared" ref="O528" si="2587">+H528/BW528</f>
        <v>71719.811175337192</v>
      </c>
      <c r="P528" s="41"/>
      <c r="Q528" s="17">
        <f t="shared" ref="Q528" si="2588">SUM(D522:D528)</f>
        <v>814161</v>
      </c>
      <c r="R528" s="16"/>
      <c r="S528" s="60">
        <f t="shared" ref="S528" si="2589">+(Q528-Q521)/Q521</f>
        <v>9.9566742927834601E-2</v>
      </c>
      <c r="T528" s="16"/>
      <c r="U528" s="41"/>
      <c r="V528" s="10">
        <f t="shared" si="356"/>
        <v>420</v>
      </c>
      <c r="W528" s="34">
        <v>1059</v>
      </c>
      <c r="X528" s="33">
        <v>4256</v>
      </c>
      <c r="Y528" s="33"/>
      <c r="Z528" s="33">
        <f t="shared" ref="Z528" si="2590">SUM(W523:W528)</f>
        <v>4528</v>
      </c>
      <c r="AA528" s="33">
        <f t="shared" ref="AA528" si="2591">+AA527+W528</f>
        <v>623887</v>
      </c>
      <c r="AB528" s="33"/>
      <c r="AC528" s="46">
        <f t="shared" ref="AC528" si="2592">+AA528/H528</f>
        <v>1.6760981277440669E-2</v>
      </c>
      <c r="AD528" s="33"/>
      <c r="AE528" s="33">
        <f t="shared" ref="AE528" si="2593">+AA528/BW528</f>
        <v>1202.0944123314066</v>
      </c>
      <c r="AF528" s="50"/>
      <c r="AG528" s="33">
        <f t="shared" ref="AG528" si="2594">SUM(W522:W528)</f>
        <v>4786</v>
      </c>
      <c r="AH528" s="33">
        <f t="shared" ref="AH528" si="2595">SUM(D499:D947)</f>
        <v>1118968668.060914</v>
      </c>
      <c r="AI528" s="213">
        <f t="shared" ref="AI528" si="2596">+(AG528-AG521)/AG521</f>
        <v>0.37726618705035969</v>
      </c>
      <c r="AJ528" s="50"/>
      <c r="AK528" s="111"/>
      <c r="AL528" s="23">
        <f t="shared" ref="AL528" si="2597">+AP528-AP527</f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ref="AR528" si="2598">+AL528/AP527</f>
        <v>1.5981879174821719E-3</v>
      </c>
      <c r="AS528" s="25"/>
      <c r="AT528" s="25"/>
      <c r="AU528" s="24"/>
      <c r="AV528" s="298">
        <f t="shared" ref="AV528" si="2599">+AP528/H528</f>
        <v>0.81776269577430172</v>
      </c>
      <c r="AW528" s="298"/>
      <c r="AX528" s="24">
        <f t="shared" ref="AX528" si="2600">+AP528/BW528</f>
        <v>58649.78612716763</v>
      </c>
      <c r="AY528" s="308"/>
      <c r="AZ528" s="111"/>
      <c r="BA528" s="65">
        <f t="shared" ref="BA528" si="2601">+BC528-BC527</f>
        <v>1649005</v>
      </c>
      <c r="BB528" s="66"/>
      <c r="BC528" s="66">
        <v>565016470</v>
      </c>
      <c r="BD528" s="66"/>
      <c r="BE528" s="66">
        <f t="shared" ref="BE528" si="2602">+D528</f>
        <v>151108</v>
      </c>
      <c r="BF528" s="66"/>
      <c r="BG528" s="144">
        <f t="shared" ref="BG528" si="2603">+BE528/BA528</f>
        <v>9.163586526420478E-2</v>
      </c>
      <c r="BH528" s="66"/>
      <c r="BI528" s="170"/>
      <c r="BJ528" s="66"/>
      <c r="BK528" s="66">
        <f t="shared" ref="BK528" si="2604">SUM(BA522:BA528)</f>
        <v>11049147</v>
      </c>
      <c r="BL528" s="66"/>
      <c r="BM528" s="144">
        <f t="shared" ref="BM528" si="2605">+Q528/BK528</f>
        <v>7.3685416620848654E-2</v>
      </c>
      <c r="BN528" s="65">
        <f t="shared" ref="BN528" si="2606">+BC528/BW528</f>
        <v>1088663.7186897881</v>
      </c>
      <c r="BO528" s="66"/>
      <c r="BP528" s="66">
        <f t="shared" ref="BP528" si="2607">+BP527+BE528</f>
        <v>36315604</v>
      </c>
      <c r="BQ528" s="66"/>
      <c r="BR528" s="435">
        <f t="shared" ref="BR528" si="2608">+BP528/BC528</f>
        <v>6.427353170784561E-2</v>
      </c>
      <c r="BS528" s="66"/>
      <c r="BT528" s="75"/>
      <c r="BU528" s="170"/>
      <c r="BV528" s="1"/>
      <c r="BW528" s="61">
        <f t="shared" si="1183"/>
        <v>519</v>
      </c>
    </row>
    <row r="529" spans="2:85" x14ac:dyDescent="0.3">
      <c r="B529" s="158">
        <f t="shared" si="2358"/>
        <v>44429</v>
      </c>
      <c r="C529" s="61"/>
      <c r="D529" s="17">
        <v>145083</v>
      </c>
      <c r="E529" s="16"/>
      <c r="F529" s="16"/>
      <c r="G529" s="16"/>
      <c r="H529" s="16">
        <f t="shared" ref="H529" si="2609">+H528+D529</f>
        <v>37367665</v>
      </c>
      <c r="I529" s="16"/>
      <c r="J529" s="436">
        <f t="shared" ref="J529" si="2610">+D529/H528</f>
        <v>3.8977145647768334E-3</v>
      </c>
      <c r="K529" s="16"/>
      <c r="L529" s="16"/>
      <c r="M529" s="16"/>
      <c r="N529" s="16">
        <f t="shared" ref="N529" si="2611">SUM(D523:D529)</f>
        <v>888109</v>
      </c>
      <c r="O529" s="16">
        <f t="shared" ref="O529" si="2612">+H529/BW529</f>
        <v>71860.894230769234</v>
      </c>
      <c r="P529" s="41"/>
      <c r="Q529" s="17">
        <f t="shared" ref="Q529" si="2613">SUM(D523:D529)</f>
        <v>888109</v>
      </c>
      <c r="R529" s="16"/>
      <c r="S529" s="60">
        <f t="shared" ref="S529" si="2614">+(Q529-Q522)/Q522</f>
        <v>0.19590828724669179</v>
      </c>
      <c r="T529" s="16"/>
      <c r="U529" s="41"/>
      <c r="V529" s="10">
        <f t="shared" si="356"/>
        <v>421</v>
      </c>
      <c r="W529" s="34">
        <v>783</v>
      </c>
      <c r="X529" s="33">
        <v>4256</v>
      </c>
      <c r="Y529" s="33"/>
      <c r="Z529" s="33">
        <f t="shared" ref="Z529" si="2615">SUM(W524:W529)</f>
        <v>5189</v>
      </c>
      <c r="AA529" s="33">
        <f t="shared" ref="AA529" si="2616">+AA528+W529</f>
        <v>624670</v>
      </c>
      <c r="AB529" s="33"/>
      <c r="AC529" s="46">
        <f t="shared" ref="AC529" si="2617">+AA529/H529</f>
        <v>1.6716859348851473E-2</v>
      </c>
      <c r="AD529" s="33"/>
      <c r="AE529" s="33">
        <f t="shared" ref="AE529" si="2618">+AA529/BW529</f>
        <v>1201.2884615384614</v>
      </c>
      <c r="AF529" s="50"/>
      <c r="AG529" s="33">
        <f t="shared" ref="AG529" si="2619">SUM(W523:W529)</f>
        <v>5311</v>
      </c>
      <c r="AH529" s="33">
        <f t="shared" ref="AH529" si="2620">SUM(D500:D948)</f>
        <v>1118907017.060914</v>
      </c>
      <c r="AI529" s="213">
        <f t="shared" ref="AI529" si="2621">+(AG529-AG522)/AG522</f>
        <v>0.55610899501904487</v>
      </c>
      <c r="AJ529" s="50"/>
      <c r="AK529" s="111"/>
      <c r="AL529" s="23">
        <f t="shared" ref="AL529" si="2622">+AP529-AP528</f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ref="AR529" si="2623">+AL529/AP528</f>
        <v>1.1586032094954804E-3</v>
      </c>
      <c r="AS529" s="25"/>
      <c r="AT529" s="25"/>
      <c r="AU529" s="24"/>
      <c r="AV529" s="298">
        <f t="shared" ref="AV529" si="2624">+AP529/H529</f>
        <v>0.81553144944967793</v>
      </c>
      <c r="AW529" s="298"/>
      <c r="AX529" s="24">
        <f t="shared" ref="AX529" si="2625">+AP529/BW529</f>
        <v>58604.81923076923</v>
      </c>
      <c r="AY529" s="308"/>
      <c r="AZ529" s="111"/>
      <c r="BA529" s="65">
        <f t="shared" ref="BA529" si="2626">+BC529-BC528</f>
        <v>1071283</v>
      </c>
      <c r="BB529" s="66"/>
      <c r="BC529" s="66">
        <v>566087753</v>
      </c>
      <c r="BD529" s="66"/>
      <c r="BE529" s="66">
        <f t="shared" ref="BE529" si="2627">+D529</f>
        <v>145083</v>
      </c>
      <c r="BF529" s="66"/>
      <c r="BG529" s="144">
        <f t="shared" ref="BG529" si="2628">+BE529/BA529</f>
        <v>0.13542920031401601</v>
      </c>
      <c r="BH529" s="66"/>
      <c r="BI529" s="170"/>
      <c r="BJ529" s="66"/>
      <c r="BK529" s="66">
        <f t="shared" ref="BK529" si="2629">SUM(BA523:BA529)</f>
        <v>11344752</v>
      </c>
      <c r="BL529" s="66"/>
      <c r="BM529" s="144">
        <f t="shared" ref="BM529" si="2630">+Q529/BK529</f>
        <v>7.8283685707717543E-2</v>
      </c>
      <c r="BN529" s="65">
        <f t="shared" ref="BN529" si="2631">+BC529/BW529</f>
        <v>1088630.2942307692</v>
      </c>
      <c r="BO529" s="66"/>
      <c r="BP529" s="66">
        <f t="shared" ref="BP529" si="2632">+BP528+BE529</f>
        <v>36460687</v>
      </c>
      <c r="BQ529" s="66"/>
      <c r="BR529" s="435">
        <f t="shared" ref="BR529" si="2633">+BP529/BC529</f>
        <v>6.4408189025067994E-2</v>
      </c>
      <c r="BS529" s="66"/>
      <c r="BT529" s="75"/>
      <c r="BU529" s="170"/>
      <c r="BV529" s="1"/>
      <c r="BW529" s="61">
        <f t="shared" si="1183"/>
        <v>520</v>
      </c>
    </row>
    <row r="530" spans="2:85" x14ac:dyDescent="0.3">
      <c r="B530" s="347">
        <f t="shared" si="2358"/>
        <v>44430</v>
      </c>
      <c r="C530" s="61"/>
      <c r="D530" s="17">
        <v>99183</v>
      </c>
      <c r="E530" s="16"/>
      <c r="F530" s="16"/>
      <c r="G530" s="16"/>
      <c r="H530" s="16">
        <f t="shared" ref="H530" si="2634">+H529+D530</f>
        <v>37466848</v>
      </c>
      <c r="I530" s="16"/>
      <c r="J530" s="436">
        <f t="shared" ref="J530" si="2635">+D530/H529</f>
        <v>2.6542466595116392E-3</v>
      </c>
      <c r="K530" s="16"/>
      <c r="L530" s="16"/>
      <c r="M530" s="16"/>
      <c r="N530" s="16">
        <f t="shared" ref="N530" si="2636">SUM(D524:D530)</f>
        <v>956409</v>
      </c>
      <c r="O530" s="16">
        <f t="shared" ref="O530" si="2637">+H530/BW530</f>
        <v>71913.335892514398</v>
      </c>
      <c r="P530" s="41"/>
      <c r="Q530" s="17">
        <f t="shared" ref="Q530" si="2638">SUM(D524:D530)</f>
        <v>956409</v>
      </c>
      <c r="R530" s="16"/>
      <c r="S530" s="60">
        <f t="shared" ref="S530" si="2639">+(Q530-Q523)/Q523</f>
        <v>0.27671682356270588</v>
      </c>
      <c r="T530" s="16"/>
      <c r="U530" s="41"/>
      <c r="V530" s="10">
        <f t="shared" si="356"/>
        <v>422</v>
      </c>
      <c r="W530" s="34">
        <v>387</v>
      </c>
      <c r="X530" s="33">
        <v>4256</v>
      </c>
      <c r="Y530" s="33"/>
      <c r="Z530" s="33">
        <f t="shared" ref="Z530" si="2640">SUM(W525:W530)</f>
        <v>5268</v>
      </c>
      <c r="AA530" s="33">
        <f t="shared" ref="AA530" si="2641">+AA529+W530</f>
        <v>625057</v>
      </c>
      <c r="AB530" s="33"/>
      <c r="AC530" s="46">
        <f t="shared" ref="AC530" si="2642">+AA530/H530</f>
        <v>1.6682935271202959E-2</v>
      </c>
      <c r="AD530" s="33"/>
      <c r="AE530" s="33">
        <f t="shared" ref="AE530" si="2643">+AA530/BW530</f>
        <v>1199.725527831094</v>
      </c>
      <c r="AF530" s="50"/>
      <c r="AG530" s="33">
        <f t="shared" ref="AG530" si="2644">SUM(W524:W530)</f>
        <v>5576</v>
      </c>
      <c r="AH530" s="33">
        <f t="shared" ref="AH530" si="2645">SUM(D501:D949)</f>
        <v>1118839532.060914</v>
      </c>
      <c r="AI530" s="213">
        <f t="shared" ref="AI530" si="2646">+(AG530-AG523)/AG523</f>
        <v>0.63711098062243099</v>
      </c>
      <c r="AJ530" s="50"/>
      <c r="AK530" s="111"/>
      <c r="AL530" s="23">
        <f t="shared" ref="AL530" si="2647">+AP530-AP529</f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ref="AR530" si="2648">+AL530/AP529</f>
        <v>6.2491579026744521E-4</v>
      </c>
      <c r="AS530" s="25"/>
      <c r="AT530" s="25"/>
      <c r="AU530" s="24"/>
      <c r="AV530" s="298">
        <f t="shared" ref="AV530" si="2649">+AP530/H530</f>
        <v>0.81388084740942179</v>
      </c>
      <c r="AW530" s="298"/>
      <c r="AX530" s="24">
        <f t="shared" ref="AX530" si="2650">+AP530/BW530</f>
        <v>58528.886756238004</v>
      </c>
      <c r="AY530" s="308"/>
      <c r="AZ530" s="111"/>
      <c r="BA530" s="65">
        <f t="shared" ref="BA530" si="2651">+BC530-BC529</f>
        <v>1182942</v>
      </c>
      <c r="BB530" s="66"/>
      <c r="BC530" s="66">
        <v>567270695</v>
      </c>
      <c r="BD530" s="66"/>
      <c r="BE530" s="66">
        <f t="shared" ref="BE530" si="2652">+D530</f>
        <v>99183</v>
      </c>
      <c r="BF530" s="66"/>
      <c r="BG530" s="144">
        <f t="shared" ref="BG530" si="2653">+BE530/BA530</f>
        <v>8.384434739826635E-2</v>
      </c>
      <c r="BH530" s="66"/>
      <c r="BI530" s="170"/>
      <c r="BJ530" s="66"/>
      <c r="BK530" s="66">
        <f t="shared" ref="BK530" si="2654">SUM(BA524:BA530)</f>
        <v>11837220</v>
      </c>
      <c r="BL530" s="66"/>
      <c r="BM530" s="144">
        <f t="shared" ref="BM530" si="2655">+Q530/BK530</f>
        <v>8.0796758022576243E-2</v>
      </c>
      <c r="BN530" s="65">
        <f t="shared" ref="BN530" si="2656">+BC530/BW530</f>
        <v>1088811.3147792707</v>
      </c>
      <c r="BO530" s="66"/>
      <c r="BP530" s="66">
        <f t="shared" ref="BP530" si="2657">+BP529+BE530</f>
        <v>36559870</v>
      </c>
      <c r="BQ530" s="66"/>
      <c r="BR530" s="435">
        <f t="shared" ref="BR530" si="2658">+BP530/BC530</f>
        <v>6.4448719671655164E-2</v>
      </c>
      <c r="BS530" s="66"/>
      <c r="BT530" s="75"/>
      <c r="BU530" s="170"/>
      <c r="BV530" s="1"/>
      <c r="BW530" s="61">
        <f t="shared" si="1183"/>
        <v>521</v>
      </c>
    </row>
    <row r="531" spans="2:85" x14ac:dyDescent="0.3">
      <c r="B531" s="158">
        <f t="shared" si="2358"/>
        <v>44431</v>
      </c>
      <c r="C531" s="61"/>
      <c r="D531" s="17"/>
      <c r="E531" s="16"/>
      <c r="F531" s="16"/>
      <c r="G531" s="16"/>
      <c r="H531" s="16"/>
      <c r="I531" s="16"/>
      <c r="J531" s="436"/>
      <c r="K531" s="16"/>
      <c r="L531" s="16"/>
      <c r="M531" s="16"/>
      <c r="N531" s="16"/>
      <c r="O531" s="16"/>
      <c r="P531" s="41"/>
      <c r="Q531" s="410"/>
      <c r="R531" s="16"/>
      <c r="S531" s="60"/>
      <c r="T531" s="16"/>
      <c r="U531" s="41"/>
      <c r="V531" s="10"/>
      <c r="W531" s="34"/>
      <c r="X531" s="33"/>
      <c r="Y531" s="33"/>
      <c r="Z531" s="33"/>
      <c r="AA531" s="33"/>
      <c r="AB531" s="33"/>
      <c r="AC531" s="46"/>
      <c r="AD531" s="33"/>
      <c r="AE531" s="33"/>
      <c r="AF531" s="50"/>
      <c r="AG531" s="33"/>
      <c r="AH531" s="33"/>
      <c r="AI531" s="213"/>
      <c r="AJ531" s="50"/>
      <c r="AK531" s="10"/>
      <c r="AL531" s="23"/>
      <c r="AM531" s="24"/>
      <c r="AN531" s="24"/>
      <c r="AO531" s="24"/>
      <c r="AP531" s="24"/>
      <c r="AQ531" s="24"/>
      <c r="AR531" s="461"/>
      <c r="AS531" s="25"/>
      <c r="AT531" s="25"/>
      <c r="AU531" s="24"/>
      <c r="AV531" s="298"/>
      <c r="AW531" s="298"/>
      <c r="AX531" s="24"/>
      <c r="AY531" s="308"/>
      <c r="AZ531" s="10"/>
      <c r="BA531" s="65"/>
      <c r="BB531" s="66"/>
      <c r="BC531" s="66"/>
      <c r="BD531" s="66"/>
      <c r="BE531" s="66"/>
      <c r="BF531" s="66"/>
      <c r="BG531" s="144"/>
      <c r="BH531" s="66"/>
      <c r="BI531" s="170"/>
      <c r="BJ531" s="66"/>
      <c r="BK531" s="66"/>
      <c r="BL531" s="66"/>
      <c r="BM531" s="144"/>
      <c r="BN531" s="65"/>
      <c r="BO531" s="66"/>
      <c r="BP531" s="66"/>
      <c r="BQ531" s="66"/>
      <c r="BR531" s="435"/>
      <c r="BS531" s="66"/>
      <c r="BT531" s="75"/>
      <c r="BU531" s="170"/>
      <c r="BV531" s="1"/>
      <c r="BW531" s="61"/>
    </row>
    <row r="532" spans="2:85" x14ac:dyDescent="0.3">
      <c r="B532" s="158">
        <f t="shared" si="2358"/>
        <v>44432</v>
      </c>
      <c r="D532" s="559"/>
      <c r="E532" s="19"/>
      <c r="F532" s="19"/>
      <c r="G532" s="19"/>
      <c r="H532" s="19"/>
      <c r="I532" s="19"/>
      <c r="J532" s="39"/>
      <c r="K532" s="19"/>
      <c r="L532" s="19"/>
      <c r="M532" s="19"/>
      <c r="N532" s="19"/>
      <c r="O532" s="19"/>
      <c r="P532" s="43"/>
      <c r="Q532" s="18"/>
      <c r="R532" s="19"/>
      <c r="S532" s="19"/>
      <c r="T532" s="19"/>
      <c r="U532" s="43"/>
      <c r="V532" s="1"/>
      <c r="W532" s="35"/>
      <c r="X532" s="36"/>
      <c r="Y532" s="36"/>
      <c r="Z532" s="36"/>
      <c r="AA532" s="36"/>
      <c r="AB532" s="36"/>
      <c r="AC532" s="47"/>
      <c r="AD532" s="36"/>
      <c r="AE532" s="36"/>
      <c r="AF532" s="51"/>
      <c r="AG532" s="36"/>
      <c r="AH532" s="36"/>
      <c r="AI532" s="36"/>
      <c r="AJ532" s="51"/>
      <c r="AK532" s="1"/>
      <c r="AL532" s="26"/>
      <c r="AM532" s="27"/>
      <c r="AN532" s="27"/>
      <c r="AO532" s="27"/>
      <c r="AP532" s="27"/>
      <c r="AQ532" s="27"/>
      <c r="AR532" s="27"/>
      <c r="AS532" s="27"/>
      <c r="AT532" s="27"/>
      <c r="AU532" s="27"/>
      <c r="AV532" s="300"/>
      <c r="AW532" s="300"/>
      <c r="AX532" s="27"/>
      <c r="AY532" s="307"/>
      <c r="AZ532" s="1"/>
      <c r="BA532" s="67"/>
      <c r="BB532" s="68"/>
      <c r="BC532" s="68"/>
      <c r="BD532" s="68"/>
      <c r="BE532" s="68"/>
      <c r="BF532" s="68"/>
      <c r="BG532" s="68"/>
      <c r="BH532" s="68"/>
      <c r="BI532" s="171"/>
      <c r="BJ532" s="68"/>
      <c r="BK532" s="68"/>
      <c r="BL532" s="68"/>
      <c r="BM532" s="68"/>
      <c r="BN532" s="67"/>
      <c r="BO532" s="68"/>
      <c r="BP532" s="68"/>
      <c r="BQ532" s="68"/>
      <c r="BR532" s="70"/>
      <c r="BS532" s="68"/>
      <c r="BT532" s="68"/>
      <c r="BU532" s="171"/>
      <c r="BV532" s="1"/>
      <c r="BW532" s="61">
        <f>+BW461+1</f>
        <v>453</v>
      </c>
    </row>
    <row r="533" spans="2:85" x14ac:dyDescent="0.3">
      <c r="B533" s="56"/>
      <c r="D533" s="1"/>
      <c r="E533" s="1"/>
      <c r="F533" s="1"/>
      <c r="G533" s="1"/>
      <c r="H533" s="59"/>
      <c r="I533" s="1"/>
      <c r="J533" s="5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59"/>
      <c r="X533" s="1"/>
      <c r="Y533" s="1"/>
      <c r="Z533" s="1"/>
      <c r="AA533" s="1"/>
      <c r="AB533" s="1"/>
      <c r="AC533" s="59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59"/>
      <c r="BD533" s="1"/>
      <c r="BE533" s="59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</row>
    <row r="534" spans="2:85" x14ac:dyDescent="0.3">
      <c r="B534" s="166" t="s">
        <v>74</v>
      </c>
      <c r="D534" s="56">
        <f>+D530</f>
        <v>99183</v>
      </c>
      <c r="E534" s="56">
        <f>+E238</f>
        <v>0</v>
      </c>
      <c r="F534" s="56">
        <f>+F238</f>
        <v>0</v>
      </c>
      <c r="G534" s="56">
        <f>+G238</f>
        <v>0</v>
      </c>
      <c r="H534" s="56">
        <f t="shared" ref="H534:BQ534" si="2659">+H530</f>
        <v>37466848</v>
      </c>
      <c r="I534" s="56">
        <f t="shared" si="2659"/>
        <v>0</v>
      </c>
      <c r="J534" s="56">
        <f t="shared" si="2659"/>
        <v>2.6542466595116392E-3</v>
      </c>
      <c r="K534" s="56">
        <f t="shared" si="2659"/>
        <v>0</v>
      </c>
      <c r="L534" s="56">
        <f t="shared" si="2659"/>
        <v>0</v>
      </c>
      <c r="M534" s="56">
        <f t="shared" si="2659"/>
        <v>0</v>
      </c>
      <c r="N534" s="56">
        <f t="shared" si="2659"/>
        <v>956409</v>
      </c>
      <c r="O534" s="56">
        <f t="shared" si="2659"/>
        <v>71913.335892514398</v>
      </c>
      <c r="P534" s="56">
        <f t="shared" si="2659"/>
        <v>0</v>
      </c>
      <c r="Q534" s="56">
        <f t="shared" si="2659"/>
        <v>956409</v>
      </c>
      <c r="R534" s="56">
        <f t="shared" si="2659"/>
        <v>0</v>
      </c>
      <c r="S534" s="56">
        <f t="shared" si="2659"/>
        <v>0.27671682356270588</v>
      </c>
      <c r="T534" s="56">
        <f t="shared" si="2659"/>
        <v>0</v>
      </c>
      <c r="U534" s="56">
        <f t="shared" si="2659"/>
        <v>0</v>
      </c>
      <c r="V534" s="56">
        <f t="shared" si="2659"/>
        <v>422</v>
      </c>
      <c r="W534" s="56">
        <f t="shared" si="2659"/>
        <v>387</v>
      </c>
      <c r="X534" s="56">
        <f t="shared" si="2659"/>
        <v>4256</v>
      </c>
      <c r="Y534" s="56">
        <f t="shared" si="2659"/>
        <v>0</v>
      </c>
      <c r="Z534" s="56">
        <f t="shared" si="2659"/>
        <v>5268</v>
      </c>
      <c r="AA534" s="56">
        <f t="shared" si="2659"/>
        <v>625057</v>
      </c>
      <c r="AB534" s="56">
        <f t="shared" si="2659"/>
        <v>0</v>
      </c>
      <c r="AC534" s="56">
        <f t="shared" si="2659"/>
        <v>1.6682935271202959E-2</v>
      </c>
      <c r="AD534" s="56">
        <f t="shared" si="2659"/>
        <v>0</v>
      </c>
      <c r="AE534" s="56">
        <f t="shared" si="2659"/>
        <v>1199.725527831094</v>
      </c>
      <c r="AF534" s="56">
        <f t="shared" si="2659"/>
        <v>0</v>
      </c>
      <c r="AG534" s="56">
        <f t="shared" si="2659"/>
        <v>5576</v>
      </c>
      <c r="AH534" s="56">
        <f t="shared" si="2659"/>
        <v>1118839532.060914</v>
      </c>
      <c r="AI534" s="56">
        <f t="shared" si="2659"/>
        <v>0.63711098062243099</v>
      </c>
      <c r="AJ534" s="56">
        <f t="shared" si="2659"/>
        <v>0</v>
      </c>
      <c r="AK534" s="56">
        <f t="shared" si="2659"/>
        <v>0</v>
      </c>
      <c r="AL534" s="56">
        <f t="shared" si="2659"/>
        <v>19044</v>
      </c>
      <c r="AM534" s="56">
        <f t="shared" si="2659"/>
        <v>0</v>
      </c>
      <c r="AN534" s="56">
        <f t="shared" si="2659"/>
        <v>0</v>
      </c>
      <c r="AO534" s="56">
        <f t="shared" si="2659"/>
        <v>178263</v>
      </c>
      <c r="AP534" s="56">
        <f t="shared" si="2659"/>
        <v>30493550</v>
      </c>
      <c r="AQ534" s="56">
        <f t="shared" si="2659"/>
        <v>20336656</v>
      </c>
      <c r="AR534" s="56">
        <f t="shared" si="2659"/>
        <v>6.2491579026744521E-4</v>
      </c>
      <c r="AS534" s="56">
        <f t="shared" si="2659"/>
        <v>0</v>
      </c>
      <c r="AT534" s="56">
        <f t="shared" si="2659"/>
        <v>0</v>
      </c>
      <c r="AU534" s="56">
        <f t="shared" si="2659"/>
        <v>0</v>
      </c>
      <c r="AV534" s="56">
        <f t="shared" si="2659"/>
        <v>0.81388084740942179</v>
      </c>
      <c r="AW534" s="56">
        <f t="shared" si="2659"/>
        <v>0</v>
      </c>
      <c r="AX534" s="56">
        <f t="shared" si="2659"/>
        <v>58528.886756238004</v>
      </c>
      <c r="AY534" s="56">
        <f t="shared" si="2659"/>
        <v>0</v>
      </c>
      <c r="AZ534" s="56">
        <f t="shared" si="2659"/>
        <v>0</v>
      </c>
      <c r="BA534" s="56">
        <f t="shared" si="2659"/>
        <v>1182942</v>
      </c>
      <c r="BB534" s="56">
        <f t="shared" si="2659"/>
        <v>0</v>
      </c>
      <c r="BC534" s="56">
        <f t="shared" si="2659"/>
        <v>567270695</v>
      </c>
      <c r="BD534" s="56">
        <f t="shared" si="2659"/>
        <v>0</v>
      </c>
      <c r="BE534" s="56">
        <f t="shared" si="2659"/>
        <v>99183</v>
      </c>
      <c r="BF534" s="56">
        <f t="shared" si="2659"/>
        <v>0</v>
      </c>
      <c r="BG534" s="56">
        <f t="shared" si="2659"/>
        <v>8.384434739826635E-2</v>
      </c>
      <c r="BH534" s="56">
        <f t="shared" si="2659"/>
        <v>0</v>
      </c>
      <c r="BI534" s="56">
        <f t="shared" si="2659"/>
        <v>0</v>
      </c>
      <c r="BJ534" s="56">
        <f t="shared" si="2659"/>
        <v>0</v>
      </c>
      <c r="BK534" s="56">
        <f t="shared" si="2659"/>
        <v>11837220</v>
      </c>
      <c r="BL534" s="56">
        <f t="shared" si="2659"/>
        <v>0</v>
      </c>
      <c r="BM534" s="56">
        <f t="shared" si="2659"/>
        <v>8.0796758022576243E-2</v>
      </c>
      <c r="BN534" s="56">
        <f t="shared" si="2659"/>
        <v>1088811.3147792707</v>
      </c>
      <c r="BO534" s="56">
        <f t="shared" si="2659"/>
        <v>0</v>
      </c>
      <c r="BP534" s="56">
        <f t="shared" si="2659"/>
        <v>36559870</v>
      </c>
      <c r="BQ534" s="56">
        <f t="shared" si="2659"/>
        <v>0</v>
      </c>
      <c r="BR534" s="56"/>
      <c r="BS534" s="56"/>
      <c r="BT534" s="56"/>
      <c r="BU534" s="56">
        <f>+BU509</f>
        <v>0</v>
      </c>
      <c r="BV534" s="56">
        <f>+BV505</f>
        <v>0</v>
      </c>
      <c r="BW534" s="56"/>
      <c r="BX534" s="56"/>
      <c r="BY534" s="56"/>
      <c r="BZ534" s="56"/>
      <c r="CA534" s="56"/>
      <c r="CB534" s="56"/>
      <c r="CC534" s="56"/>
      <c r="CD534" s="56"/>
      <c r="CE534" s="61"/>
      <c r="CF534" s="61"/>
      <c r="CG534" s="145"/>
    </row>
    <row r="535" spans="2:85" x14ac:dyDescent="0.3">
      <c r="B535" t="s">
        <v>105</v>
      </c>
      <c r="D535" s="56">
        <f>+D529-D534</f>
        <v>45900</v>
      </c>
      <c r="E535" s="56">
        <f>+E237-E534</f>
        <v>0</v>
      </c>
      <c r="F535" s="56">
        <f>+F237-F534</f>
        <v>0</v>
      </c>
      <c r="G535" s="56">
        <f>+G237-G534</f>
        <v>0</v>
      </c>
      <c r="H535" s="56">
        <f t="shared" ref="H535:BQ535" si="2660">+H529-H534</f>
        <v>-99183</v>
      </c>
      <c r="I535" s="56">
        <f t="shared" si="2660"/>
        <v>0</v>
      </c>
      <c r="J535" s="56">
        <f t="shared" si="2660"/>
        <v>1.2434679052651942E-3</v>
      </c>
      <c r="K535" s="56">
        <f t="shared" si="2660"/>
        <v>0</v>
      </c>
      <c r="L535" s="56">
        <f t="shared" si="2660"/>
        <v>0</v>
      </c>
      <c r="M535" s="56">
        <f t="shared" si="2660"/>
        <v>0</v>
      </c>
      <c r="N535" s="56">
        <f t="shared" si="2660"/>
        <v>-68300</v>
      </c>
      <c r="O535" s="56">
        <f t="shared" si="2660"/>
        <v>-52.441661745164311</v>
      </c>
      <c r="P535" s="56">
        <f t="shared" si="2660"/>
        <v>0</v>
      </c>
      <c r="Q535" s="56">
        <f t="shared" si="2660"/>
        <v>-68300</v>
      </c>
      <c r="R535" s="56">
        <f t="shared" si="2660"/>
        <v>0</v>
      </c>
      <c r="S535" s="56">
        <f t="shared" si="2660"/>
        <v>-8.080853631601409E-2</v>
      </c>
      <c r="T535" s="56">
        <f t="shared" si="2660"/>
        <v>0</v>
      </c>
      <c r="U535" s="56">
        <f t="shared" si="2660"/>
        <v>0</v>
      </c>
      <c r="V535" s="56">
        <f t="shared" si="2660"/>
        <v>-1</v>
      </c>
      <c r="W535" s="56">
        <f t="shared" si="2660"/>
        <v>396</v>
      </c>
      <c r="X535" s="56">
        <f t="shared" si="2660"/>
        <v>0</v>
      </c>
      <c r="Y535" s="56">
        <f t="shared" si="2660"/>
        <v>0</v>
      </c>
      <c r="Z535" s="56">
        <f t="shared" si="2660"/>
        <v>-79</v>
      </c>
      <c r="AA535" s="56">
        <f t="shared" si="2660"/>
        <v>-387</v>
      </c>
      <c r="AB535" s="56">
        <f t="shared" si="2660"/>
        <v>0</v>
      </c>
      <c r="AC535" s="56">
        <f t="shared" si="2660"/>
        <v>3.3924077648513767E-5</v>
      </c>
      <c r="AD535" s="56">
        <f t="shared" si="2660"/>
        <v>0</v>
      </c>
      <c r="AE535" s="56">
        <f t="shared" si="2660"/>
        <v>1.5629337073673923</v>
      </c>
      <c r="AF535" s="56">
        <f t="shared" si="2660"/>
        <v>0</v>
      </c>
      <c r="AG535" s="56">
        <f t="shared" si="2660"/>
        <v>-265</v>
      </c>
      <c r="AH535" s="56">
        <f t="shared" si="2660"/>
        <v>67485</v>
      </c>
      <c r="AI535" s="56">
        <f t="shared" si="2660"/>
        <v>-8.1001985603386117E-2</v>
      </c>
      <c r="AJ535" s="56">
        <f t="shared" si="2660"/>
        <v>0</v>
      </c>
      <c r="AK535" s="56">
        <f t="shared" si="2660"/>
        <v>0</v>
      </c>
      <c r="AL535" s="56">
        <f t="shared" si="2660"/>
        <v>16223</v>
      </c>
      <c r="AM535" s="56">
        <f t="shared" si="2660"/>
        <v>0</v>
      </c>
      <c r="AN535" s="56">
        <f t="shared" si="2660"/>
        <v>0</v>
      </c>
      <c r="AO535" s="56">
        <f t="shared" si="2660"/>
        <v>0</v>
      </c>
      <c r="AP535" s="56">
        <f t="shared" si="2660"/>
        <v>-19044</v>
      </c>
      <c r="AQ535" s="56">
        <f t="shared" si="2660"/>
        <v>0</v>
      </c>
      <c r="AR535" s="56">
        <f t="shared" si="2660"/>
        <v>5.3368741922803524E-4</v>
      </c>
      <c r="AS535" s="56">
        <f t="shared" si="2660"/>
        <v>0</v>
      </c>
      <c r="AT535" s="56">
        <f t="shared" si="2660"/>
        <v>0</v>
      </c>
      <c r="AU535" s="56">
        <f t="shared" si="2660"/>
        <v>0</v>
      </c>
      <c r="AV535" s="56">
        <f t="shared" si="2660"/>
        <v>1.6506020402561328E-3</v>
      </c>
      <c r="AW535" s="56">
        <f t="shared" si="2660"/>
        <v>0</v>
      </c>
      <c r="AX535" s="56">
        <f t="shared" si="2660"/>
        <v>75.932474531226035</v>
      </c>
      <c r="AY535" s="56">
        <f t="shared" si="2660"/>
        <v>0</v>
      </c>
      <c r="AZ535" s="56">
        <f t="shared" si="2660"/>
        <v>0</v>
      </c>
      <c r="BA535" s="56">
        <f t="shared" si="2660"/>
        <v>-111659</v>
      </c>
      <c r="BB535" s="56">
        <f t="shared" si="2660"/>
        <v>0</v>
      </c>
      <c r="BC535" s="56">
        <f t="shared" si="2660"/>
        <v>-1182942</v>
      </c>
      <c r="BD535" s="56">
        <f t="shared" si="2660"/>
        <v>0</v>
      </c>
      <c r="BE535" s="56">
        <f t="shared" si="2660"/>
        <v>45900</v>
      </c>
      <c r="BF535" s="56">
        <f t="shared" si="2660"/>
        <v>0</v>
      </c>
      <c r="BG535" s="56">
        <f t="shared" si="2660"/>
        <v>5.1584852915749657E-2</v>
      </c>
      <c r="BH535" s="56">
        <f t="shared" si="2660"/>
        <v>0</v>
      </c>
      <c r="BI535" s="56">
        <f t="shared" si="2660"/>
        <v>0</v>
      </c>
      <c r="BJ535" s="56">
        <f t="shared" si="2660"/>
        <v>0</v>
      </c>
      <c r="BK535" s="56">
        <f t="shared" si="2660"/>
        <v>-492468</v>
      </c>
      <c r="BL535" s="56">
        <f t="shared" si="2660"/>
        <v>0</v>
      </c>
      <c r="BM535" s="56">
        <f t="shared" si="2660"/>
        <v>-2.5130723148586998E-3</v>
      </c>
      <c r="BN535" s="56">
        <f t="shared" si="2660"/>
        <v>-181.02054850151762</v>
      </c>
      <c r="BO535" s="56">
        <f t="shared" si="2660"/>
        <v>0</v>
      </c>
      <c r="BP535" s="56">
        <f t="shared" si="2660"/>
        <v>-99183</v>
      </c>
      <c r="BQ535" s="56">
        <f t="shared" si="2660"/>
        <v>0</v>
      </c>
      <c r="BR535" s="56"/>
      <c r="BS535" s="56"/>
      <c r="BT535" s="56"/>
      <c r="BU535" s="56">
        <f>+BU508-BU534</f>
        <v>0</v>
      </c>
      <c r="BV535" s="56">
        <f>+BV504-BV534</f>
        <v>0</v>
      </c>
      <c r="BW535" s="56"/>
      <c r="BX535" s="56"/>
      <c r="BY535" s="56"/>
      <c r="BZ535" s="56"/>
      <c r="CA535" s="56"/>
      <c r="CB535" s="56"/>
      <c r="CC535" s="56"/>
      <c r="CD535" s="56"/>
      <c r="CE535" s="61"/>
      <c r="CF535" s="61"/>
      <c r="CG535" s="105"/>
    </row>
    <row r="536" spans="2:85" x14ac:dyDescent="0.3">
      <c r="B536" s="56"/>
      <c r="D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10"/>
      <c r="BT536" s="10"/>
      <c r="BU536" s="10"/>
      <c r="BV536" s="10"/>
      <c r="BW536" s="10"/>
      <c r="BX536" s="10"/>
      <c r="BY536" s="10"/>
      <c r="BZ536" s="10"/>
      <c r="CA536" s="10"/>
      <c r="CB536" s="61"/>
      <c r="CC536" s="105"/>
      <c r="CD536" s="105"/>
      <c r="CE536" s="105"/>
      <c r="CF536" s="105"/>
    </row>
    <row r="537" spans="2:85" x14ac:dyDescent="0.3">
      <c r="B537" s="56"/>
      <c r="D537" s="56"/>
      <c r="H537" s="1"/>
      <c r="N537" s="145"/>
      <c r="O537" s="1"/>
      <c r="W537" s="56"/>
      <c r="AA537" s="59"/>
      <c r="BA537" s="59"/>
      <c r="BC537" s="56"/>
      <c r="BE537" s="59"/>
      <c r="BJ537" s="61"/>
      <c r="BK537" s="10">
        <f>+BK187</f>
        <v>4928581</v>
      </c>
      <c r="BL537" s="61"/>
      <c r="BM537" s="61"/>
      <c r="BN537" s="61"/>
      <c r="BO537" s="61"/>
      <c r="BP537" s="61"/>
      <c r="BQ537" s="61"/>
      <c r="BR537" s="61"/>
      <c r="BS537" s="10"/>
      <c r="BT537" s="10"/>
    </row>
    <row r="538" spans="2:85" x14ac:dyDescent="0.3">
      <c r="B538" s="56"/>
      <c r="D538" s="56"/>
      <c r="H538" s="56"/>
      <c r="N538" s="231"/>
      <c r="W538" s="56"/>
      <c r="AA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56"/>
      <c r="AU538" t="s">
        <v>161</v>
      </c>
      <c r="BC538" s="1"/>
      <c r="BE538" s="59"/>
      <c r="BH538" s="96"/>
      <c r="BI538" s="96"/>
      <c r="BJ538" s="96"/>
      <c r="BK538" s="493"/>
      <c r="BL538" s="96"/>
      <c r="BM538" s="96"/>
      <c r="BN538" s="96"/>
      <c r="BO538" s="96"/>
      <c r="BP538" s="96"/>
      <c r="BQ538" s="96"/>
      <c r="BR538" s="78"/>
      <c r="BS538" s="1"/>
      <c r="BT538" s="1"/>
    </row>
    <row r="539" spans="2:85" x14ac:dyDescent="0.3">
      <c r="D539" s="1"/>
      <c r="E539" s="111" t="s">
        <v>26</v>
      </c>
      <c r="F539" s="112"/>
      <c r="H539" s="112" t="s">
        <v>59</v>
      </c>
      <c r="I539" s="104"/>
      <c r="J539" s="104"/>
      <c r="K539" s="61"/>
      <c r="L539" s="10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BC539" s="56"/>
      <c r="BE539" s="59"/>
      <c r="BH539" s="96"/>
      <c r="BI539" s="96"/>
      <c r="BJ539" s="96"/>
      <c r="BK539" s="493">
        <f>+BK194-BK534</f>
        <v>-6074111</v>
      </c>
      <c r="BL539" s="96"/>
      <c r="BM539" s="96"/>
      <c r="BN539" s="96"/>
      <c r="BO539" s="96"/>
      <c r="BP539" s="96"/>
      <c r="BQ539" s="96"/>
      <c r="BR539" s="78"/>
      <c r="BS539" s="1"/>
      <c r="BT539" s="1"/>
    </row>
    <row r="540" spans="2:85" x14ac:dyDescent="0.3">
      <c r="B540" s="56"/>
      <c r="D540" s="1"/>
      <c r="E540" s="111" t="s">
        <v>38</v>
      </c>
      <c r="F540" s="112"/>
      <c r="H540" s="112" t="s">
        <v>40</v>
      </c>
      <c r="I540" s="10"/>
      <c r="J540" s="10"/>
      <c r="K540" s="61"/>
      <c r="L540" s="10"/>
      <c r="AD540" s="1"/>
      <c r="AE540" s="1"/>
      <c r="AF540" s="1"/>
      <c r="AG540" s="1"/>
      <c r="AH540" s="1"/>
      <c r="AI540" s="1">
        <f>SUM(W213:W243)</f>
        <v>25465</v>
      </c>
      <c r="AJ540" s="1"/>
      <c r="AK540" s="1"/>
      <c r="AL540" s="1" t="s">
        <v>17</v>
      </c>
      <c r="AM540" s="1"/>
      <c r="AN540" s="1"/>
      <c r="AO540" s="1"/>
      <c r="BC540" s="56"/>
      <c r="BE540" s="59"/>
      <c r="BH540" s="97"/>
      <c r="BI540" s="97"/>
      <c r="BJ540" s="97"/>
      <c r="BK540" s="493">
        <f>+BK187-BK534</f>
        <v>-6908639</v>
      </c>
      <c r="BL540" s="97"/>
      <c r="BM540" s="97"/>
      <c r="BN540" s="97"/>
      <c r="BO540" s="97"/>
      <c r="BP540" s="97"/>
      <c r="BQ540" s="97"/>
      <c r="BR540" s="78"/>
      <c r="BS540" s="1"/>
      <c r="BT540" s="1"/>
    </row>
    <row r="541" spans="2:85" x14ac:dyDescent="0.3">
      <c r="B541" s="231"/>
      <c r="D541" s="1"/>
      <c r="E541" s="111" t="s">
        <v>45</v>
      </c>
      <c r="F541" s="112"/>
      <c r="H541" s="112" t="s">
        <v>55</v>
      </c>
      <c r="I541" s="10"/>
      <c r="J541" s="10"/>
      <c r="K541" s="61"/>
      <c r="L541" s="10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BC541" s="56"/>
      <c r="BE541" s="59"/>
      <c r="BH541" s="97"/>
      <c r="BI541" s="97"/>
      <c r="BJ541" s="97"/>
      <c r="BK541" s="493"/>
      <c r="BL541" s="97"/>
      <c r="BM541" s="97"/>
      <c r="BN541" s="97"/>
      <c r="BO541" s="97"/>
      <c r="BP541" s="97"/>
      <c r="BQ541" s="97"/>
      <c r="BR541" s="78"/>
      <c r="BS541" s="1"/>
      <c r="BT541" s="1"/>
    </row>
    <row r="542" spans="2:85" x14ac:dyDescent="0.3">
      <c r="D542" s="1"/>
      <c r="E542" s="111" t="s">
        <v>60</v>
      </c>
      <c r="F542" s="61"/>
      <c r="H542" s="81" t="s">
        <v>135</v>
      </c>
      <c r="I542" s="61"/>
      <c r="J542" s="61"/>
      <c r="K542" s="61"/>
      <c r="L542" s="6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BH542" s="97"/>
      <c r="BI542" s="97"/>
      <c r="BJ542" s="97"/>
      <c r="BK542" s="496"/>
      <c r="BL542" s="97"/>
      <c r="BM542" s="97"/>
      <c r="BN542" s="97"/>
      <c r="BO542" s="97"/>
      <c r="BP542" s="97"/>
      <c r="BQ542" s="97"/>
      <c r="BR542" s="78"/>
      <c r="BS542" s="1"/>
      <c r="BT542" s="1"/>
    </row>
    <row r="543" spans="2:85" x14ac:dyDescent="0.3">
      <c r="E543" s="111" t="s">
        <v>136</v>
      </c>
      <c r="H543" s="81" t="s">
        <v>137</v>
      </c>
      <c r="AD543" s="1"/>
      <c r="AE543" s="1"/>
      <c r="AF543" s="1"/>
      <c r="AG543" s="1"/>
      <c r="AH543" s="1"/>
      <c r="AI543" s="1"/>
      <c r="BD543" s="78"/>
      <c r="BE543" s="78"/>
      <c r="BF543" s="78"/>
      <c r="BG543" s="78"/>
      <c r="BH543" s="78"/>
      <c r="BI543" s="78"/>
      <c r="BJ543" s="78"/>
      <c r="BK543" s="494"/>
      <c r="BL543" s="78"/>
      <c r="BM543" s="78"/>
      <c r="BN543" s="78"/>
      <c r="BO543" s="78"/>
      <c r="BP543" s="78"/>
      <c r="BQ543" s="78"/>
      <c r="BR543" s="78"/>
      <c r="BS543" s="1"/>
      <c r="BT543" s="1"/>
    </row>
    <row r="544" spans="2:85" x14ac:dyDescent="0.3">
      <c r="B544" s="56"/>
      <c r="AD544" s="1"/>
      <c r="AE544" s="1"/>
      <c r="AF544" s="1"/>
      <c r="AG544" s="1"/>
      <c r="AH544" s="1"/>
      <c r="AI544" s="1"/>
      <c r="BA544" s="545">
        <v>157602857</v>
      </c>
      <c r="BK544" s="495"/>
    </row>
    <row r="545" spans="2:87" ht="15" thickBot="1" x14ac:dyDescent="0.35">
      <c r="D545" s="56">
        <f>SUM(D363:D369)</f>
        <v>378583</v>
      </c>
      <c r="AD545" s="1"/>
      <c r="AE545" s="507"/>
      <c r="AF545" s="547"/>
      <c r="AG545" s="507"/>
      <c r="AH545" s="507"/>
      <c r="AI545" s="507"/>
      <c r="AJ545" s="500"/>
      <c r="AK545" s="500"/>
      <c r="AL545" s="500"/>
      <c r="AM545" s="500"/>
      <c r="AN545" s="500"/>
      <c r="AO545" s="500"/>
      <c r="AP545" s="500"/>
      <c r="AQ545" s="500"/>
      <c r="AR545" s="500"/>
      <c r="AS545" s="500"/>
      <c r="AT545" s="500"/>
      <c r="AU545" s="500"/>
      <c r="AV545" s="500"/>
      <c r="AW545" s="500"/>
      <c r="AX545" s="500"/>
      <c r="AZ545" s="106"/>
      <c r="BA545" s="106"/>
      <c r="BB545" s="106"/>
      <c r="BC545" s="106"/>
      <c r="BK545" s="1"/>
    </row>
    <row r="546" spans="2:87" x14ac:dyDescent="0.3">
      <c r="D546" s="531">
        <f>SUM(D356:D362)</f>
        <v>417052</v>
      </c>
      <c r="J546" s="486"/>
      <c r="V546" s="106"/>
      <c r="AA546" s="56"/>
      <c r="AD546" s="1"/>
      <c r="AE546" s="507"/>
      <c r="AF546" s="546"/>
      <c r="AG546" s="1"/>
      <c r="AH546" s="1"/>
      <c r="AI546" s="485"/>
      <c r="AJ546" s="464"/>
      <c r="AK546" s="465"/>
      <c r="AL546" s="465"/>
      <c r="AM546" s="465"/>
      <c r="AN546" s="465"/>
      <c r="AO546" s="465"/>
      <c r="AP546" s="465"/>
      <c r="AQ546" s="465"/>
      <c r="AR546" s="465"/>
      <c r="AS546" s="465"/>
      <c r="AT546" s="465"/>
      <c r="AU546" s="465"/>
      <c r="AV546" s="465"/>
      <c r="AW546" s="466"/>
      <c r="AX546" s="500"/>
      <c r="AZ546" s="106"/>
      <c r="BA546" s="77"/>
      <c r="BB546" s="106"/>
      <c r="BC546" s="106"/>
      <c r="BK546" s="56"/>
    </row>
    <row r="547" spans="2:87" x14ac:dyDescent="0.3">
      <c r="D547" s="1"/>
      <c r="J547" s="214"/>
      <c r="AD547" s="1"/>
      <c r="AE547" s="507"/>
      <c r="AF547" s="546"/>
      <c r="AG547" s="1"/>
      <c r="AH547" s="1"/>
      <c r="AI547" s="485"/>
      <c r="AJ547" s="467"/>
      <c r="AK547" s="589" t="s">
        <v>142</v>
      </c>
      <c r="AL547" s="589"/>
      <c r="AM547" s="589"/>
      <c r="AN547" s="589"/>
      <c r="AO547" s="589"/>
      <c r="AP547" s="589"/>
      <c r="AQ547" s="589"/>
      <c r="AR547" s="589"/>
      <c r="AS547" s="589"/>
      <c r="AT547" s="589"/>
      <c r="AU547" s="589"/>
      <c r="AV547" s="589"/>
      <c r="AW547" s="468"/>
      <c r="AX547" s="500"/>
      <c r="AZ547" s="106"/>
      <c r="BA547" s="106"/>
      <c r="BB547" s="106"/>
      <c r="BC547" s="106"/>
    </row>
    <row r="548" spans="2:87" ht="15.6" x14ac:dyDescent="0.3">
      <c r="D548" s="1">
        <v>331000000</v>
      </c>
      <c r="H548" s="235">
        <f>+H269/D548</f>
        <v>4.5635842900302113E-2</v>
      </c>
      <c r="J548" s="57"/>
      <c r="AD548" s="1"/>
      <c r="AE548" s="507"/>
      <c r="AF548" s="546"/>
      <c r="AG548" s="1"/>
      <c r="AH548" s="1"/>
      <c r="AI548" s="485"/>
      <c r="AJ548" s="467"/>
      <c r="AK548" s="589" t="s">
        <v>141</v>
      </c>
      <c r="AL548" s="589"/>
      <c r="AM548" s="589"/>
      <c r="AN548" s="589"/>
      <c r="AO548" s="473"/>
      <c r="AP548" s="474" t="s">
        <v>20</v>
      </c>
      <c r="AQ548" s="473"/>
      <c r="AR548" s="474" t="s">
        <v>4</v>
      </c>
      <c r="AS548" s="475"/>
      <c r="AT548" s="475"/>
      <c r="AU548" s="475"/>
      <c r="AV548" s="479" t="s">
        <v>10</v>
      </c>
      <c r="AW548" s="468"/>
      <c r="AX548" s="500"/>
      <c r="AZ548" s="106"/>
      <c r="BA548" s="106"/>
      <c r="BB548" s="106"/>
      <c r="BC548" s="106"/>
    </row>
    <row r="549" spans="2:87" ht="15.6" x14ac:dyDescent="0.3">
      <c r="H549" s="235">
        <f>+AA269/H269</f>
        <v>1.9000541790705667E-2</v>
      </c>
      <c r="AD549" s="1"/>
      <c r="AE549" s="507"/>
      <c r="AF549" s="546"/>
      <c r="AG549" s="1"/>
      <c r="AH549" s="1"/>
      <c r="AI549" s="485"/>
      <c r="AJ549" s="467"/>
      <c r="AK549" s="588" t="s">
        <v>138</v>
      </c>
      <c r="AL549" s="588"/>
      <c r="AM549" s="588"/>
      <c r="AN549" s="588"/>
      <c r="AO549" s="473"/>
      <c r="AP549" s="476">
        <f>+AH50</f>
        <v>898992</v>
      </c>
      <c r="AQ549" s="477"/>
      <c r="AR549" s="476">
        <f>+AH51</f>
        <v>55687</v>
      </c>
      <c r="AS549" s="478"/>
      <c r="AT549" s="478"/>
      <c r="AU549" s="478"/>
      <c r="AV549" s="491">
        <f t="shared" ref="AV549:AV555" si="2661">+AR549/AP549</f>
        <v>6.194382152455194E-2</v>
      </c>
      <c r="AW549" s="468"/>
      <c r="AX549" s="500"/>
      <c r="AZ549" s="106"/>
      <c r="BA549" s="77"/>
      <c r="BB549" s="106"/>
      <c r="BC549" s="106"/>
    </row>
    <row r="550" spans="2:87" ht="15.6" x14ac:dyDescent="0.3">
      <c r="D550" s="235"/>
      <c r="AD550" s="1"/>
      <c r="AE550" s="507"/>
      <c r="AF550" s="546"/>
      <c r="AG550" s="1"/>
      <c r="AH550" s="1"/>
      <c r="AI550" s="485"/>
      <c r="AJ550" s="467"/>
      <c r="AK550" s="584" t="s">
        <v>139</v>
      </c>
      <c r="AL550" s="585"/>
      <c r="AM550" s="585"/>
      <c r="AN550" s="585"/>
      <c r="AO550" s="64"/>
      <c r="AP550" s="469">
        <f>+AG83</f>
        <v>742147</v>
      </c>
      <c r="AQ550" s="64"/>
      <c r="AR550" s="469">
        <f>+AG84</f>
        <v>42339</v>
      </c>
      <c r="AS550" s="64"/>
      <c r="AT550" s="64"/>
      <c r="AU550" s="64"/>
      <c r="AV550" s="489">
        <f t="shared" si="2661"/>
        <v>5.7049344671608188E-2</v>
      </c>
      <c r="AW550" s="468"/>
      <c r="AX550" s="500"/>
      <c r="AZ550" s="106"/>
      <c r="BA550" s="77"/>
      <c r="BB550" s="106"/>
      <c r="BC550" s="106"/>
    </row>
    <row r="551" spans="2:87" ht="15.6" x14ac:dyDescent="0.3">
      <c r="AD551" s="1"/>
      <c r="AE551" s="507"/>
      <c r="AF551" s="546"/>
      <c r="AG551" s="1"/>
      <c r="AH551" s="1"/>
      <c r="AI551" s="485"/>
      <c r="AJ551" s="467"/>
      <c r="AK551" s="585" t="s">
        <v>140</v>
      </c>
      <c r="AL551" s="585"/>
      <c r="AM551" s="585"/>
      <c r="AN551" s="585"/>
      <c r="AO551" s="64"/>
      <c r="AP551" s="469">
        <f>+AH113</f>
        <v>869627</v>
      </c>
      <c r="AQ551" s="64"/>
      <c r="AR551" s="469">
        <f>+AH114</f>
        <v>21252</v>
      </c>
      <c r="AS551" s="64"/>
      <c r="AT551" s="64"/>
      <c r="AU551" s="64"/>
      <c r="AV551" s="489">
        <f t="shared" si="2661"/>
        <v>2.4438063675575852E-2</v>
      </c>
      <c r="AW551" s="468"/>
      <c r="AX551" s="500"/>
      <c r="AZ551" s="106"/>
      <c r="BA551" s="106"/>
      <c r="BB551" s="106"/>
      <c r="BC551" s="106"/>
    </row>
    <row r="552" spans="2:87" ht="15.6" x14ac:dyDescent="0.3">
      <c r="D552" s="428"/>
      <c r="AD552" s="1"/>
      <c r="AE552" s="507"/>
      <c r="AF552" s="546"/>
      <c r="AG552" s="1"/>
      <c r="AH552" s="1"/>
      <c r="AI552" s="485"/>
      <c r="AJ552" s="467"/>
      <c r="AK552" s="585" t="s">
        <v>143</v>
      </c>
      <c r="AL552" s="585"/>
      <c r="AM552" s="585"/>
      <c r="AN552" s="585"/>
      <c r="AO552" s="64"/>
      <c r="AP552" s="469">
        <f>+AG558</f>
        <v>1970617</v>
      </c>
      <c r="AQ552" s="64"/>
      <c r="AR552" s="469">
        <f>+AG560</f>
        <v>25901</v>
      </c>
      <c r="AS552" s="64"/>
      <c r="AT552" s="64"/>
      <c r="AU552" s="64"/>
      <c r="AV552" s="489">
        <f t="shared" si="2661"/>
        <v>1.3143599187462607E-2</v>
      </c>
      <c r="AW552" s="468"/>
      <c r="AX552" s="500"/>
    </row>
    <row r="553" spans="2:87" ht="15.6" x14ac:dyDescent="0.3">
      <c r="D553" s="428"/>
      <c r="AD553" s="1"/>
      <c r="AE553" s="507"/>
      <c r="AF553" s="546"/>
      <c r="AG553" s="1"/>
      <c r="AH553" s="1"/>
      <c r="AI553" s="485"/>
      <c r="AJ553" s="467"/>
      <c r="AK553" s="543"/>
      <c r="AL553" s="543" t="s">
        <v>151</v>
      </c>
      <c r="AM553" s="543"/>
      <c r="AN553" s="543"/>
      <c r="AO553" s="64"/>
      <c r="AP553" s="469">
        <f>SUM(D144:D174)</f>
        <v>1493931</v>
      </c>
      <c r="AQ553" s="64"/>
      <c r="AR553" s="469">
        <f>SUM(W144:W174)</f>
        <v>30354</v>
      </c>
      <c r="AS553" s="64"/>
      <c r="AT553" s="64"/>
      <c r="AU553" s="64"/>
      <c r="AV553" s="489">
        <f t="shared" si="2661"/>
        <v>2.0318207467413155E-2</v>
      </c>
      <c r="AW553" s="468"/>
      <c r="AX553" s="500"/>
    </row>
    <row r="554" spans="2:87" ht="15.6" x14ac:dyDescent="0.3">
      <c r="D554" s="428"/>
      <c r="AD554" s="1"/>
      <c r="AE554" s="507"/>
      <c r="AF554" s="546"/>
      <c r="AG554" s="1"/>
      <c r="AH554" s="1"/>
      <c r="AI554" s="485"/>
      <c r="AJ554" s="467"/>
      <c r="AK554" s="543"/>
      <c r="AL554" s="543" t="s">
        <v>152</v>
      </c>
      <c r="AM554" s="543"/>
      <c r="AN554" s="543"/>
      <c r="AO554" s="64"/>
      <c r="AP554" s="469">
        <f>SUM(D175:D204)</f>
        <v>1202331</v>
      </c>
      <c r="AQ554" s="64"/>
      <c r="AR554" s="544">
        <f>SUM(W175:W204)</f>
        <v>24042</v>
      </c>
      <c r="AS554" s="64"/>
      <c r="AT554" s="64"/>
      <c r="AU554" s="64"/>
      <c r="AV554" s="489">
        <f t="shared" si="2661"/>
        <v>1.9996157464125936E-2</v>
      </c>
      <c r="AW554" s="468"/>
      <c r="AX554" s="500"/>
    </row>
    <row r="555" spans="2:87" ht="15.6" x14ac:dyDescent="0.3">
      <c r="D555" s="428"/>
      <c r="AD555" s="1"/>
      <c r="AE555" s="507"/>
      <c r="AF555" s="546"/>
      <c r="AG555" s="1"/>
      <c r="AH555" s="1"/>
      <c r="AI555" s="485"/>
      <c r="AJ555" s="467"/>
      <c r="AK555" s="543"/>
      <c r="AL555" s="543" t="s">
        <v>153</v>
      </c>
      <c r="AM555" s="543"/>
      <c r="AN555" s="543"/>
      <c r="AO555" s="64"/>
      <c r="AP555" s="469">
        <f>SUM(D205:D230)</f>
        <v>1470960</v>
      </c>
      <c r="AQ555" s="64"/>
      <c r="AR555" s="469">
        <f>SUM(W205:W235)</f>
        <v>24156</v>
      </c>
      <c r="AS555" s="64"/>
      <c r="AT555" s="64"/>
      <c r="AU555" s="64"/>
      <c r="AV555" s="489">
        <f t="shared" si="2661"/>
        <v>1.6421928536465982E-2</v>
      </c>
      <c r="AW555" s="468"/>
      <c r="AX555" s="500"/>
      <c r="BA555" s="486">
        <f>+AV549-AV555</f>
        <v>4.5521892988085955E-2</v>
      </c>
    </row>
    <row r="556" spans="2:87" ht="15" thickBot="1" x14ac:dyDescent="0.35">
      <c r="B556" s="427"/>
      <c r="D556" s="235"/>
      <c r="AD556" s="1"/>
      <c r="AE556" s="507"/>
      <c r="AF556" s="546"/>
      <c r="AG556" s="1"/>
      <c r="AH556" s="1"/>
      <c r="AI556" s="485"/>
      <c r="AJ556" s="467"/>
      <c r="AK556" s="480"/>
      <c r="AL556" s="480"/>
      <c r="AM556" s="480"/>
      <c r="AN556" s="480"/>
      <c r="AO556" s="481"/>
      <c r="AP556" s="482"/>
      <c r="AQ556" s="481"/>
      <c r="AR556" s="482"/>
      <c r="AS556" s="481"/>
      <c r="AT556" s="481"/>
      <c r="AU556" s="481"/>
      <c r="AV556" s="483"/>
      <c r="AW556" s="468"/>
      <c r="AX556" s="500"/>
      <c r="BA556">
        <f>+BA555/AV549</f>
        <v>0.73488996751747038</v>
      </c>
    </row>
    <row r="557" spans="2:87" ht="15.6" x14ac:dyDescent="0.3">
      <c r="B557" s="427"/>
      <c r="D557" s="235"/>
      <c r="AD557" s="1"/>
      <c r="AE557" s="507"/>
      <c r="AF557" s="546"/>
      <c r="AG557" s="1"/>
      <c r="AH557" s="1"/>
      <c r="AI557" s="485"/>
      <c r="AJ557" s="467"/>
      <c r="AK557" s="588" t="s">
        <v>138</v>
      </c>
      <c r="AL557" s="588"/>
      <c r="AM557" s="588"/>
      <c r="AN557" s="588"/>
      <c r="AO557" s="64"/>
      <c r="AP557" s="469"/>
      <c r="AQ557" s="64"/>
      <c r="AR557" s="469">
        <f>+AR549</f>
        <v>55687</v>
      </c>
      <c r="AS557" s="64"/>
      <c r="AT557" s="64"/>
      <c r="AU557" s="64"/>
      <c r="AV557" s="144"/>
      <c r="AW557" s="468"/>
      <c r="AX557" s="500"/>
    </row>
    <row r="558" spans="2:87" ht="15.6" x14ac:dyDescent="0.3">
      <c r="B558" s="427"/>
      <c r="D558" s="235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10"/>
      <c r="AE558" s="507"/>
      <c r="AF558" s="546"/>
      <c r="AG558" s="33">
        <f>SUM(D113:D143)</f>
        <v>1970617</v>
      </c>
      <c r="AH558" s="1"/>
      <c r="AI558" s="485"/>
      <c r="AJ558" s="467"/>
      <c r="AK558" s="590" t="s">
        <v>153</v>
      </c>
      <c r="AL558" s="590"/>
      <c r="AM558" s="590"/>
      <c r="AN558" s="590"/>
      <c r="AO558" s="64"/>
      <c r="AP558" s="469"/>
      <c r="AQ558" s="64"/>
      <c r="AR558" s="469">
        <f>+AR555</f>
        <v>24156</v>
      </c>
      <c r="AS558" s="64"/>
      <c r="AT558" s="64"/>
      <c r="AU558" s="64"/>
      <c r="AV558" s="144"/>
      <c r="AW558" s="468"/>
      <c r="AX558" s="500"/>
    </row>
    <row r="559" spans="2:87" ht="15.6" x14ac:dyDescent="0.3">
      <c r="B559" s="427"/>
      <c r="D559" s="235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10"/>
      <c r="AE559" s="507"/>
      <c r="AF559" s="546"/>
      <c r="AG559" s="33">
        <f>SUM(W125:W138)</f>
        <v>12117</v>
      </c>
      <c r="AH559" s="1"/>
      <c r="AI559" s="485"/>
      <c r="AJ559" s="467"/>
      <c r="AK559" s="63"/>
      <c r="AL559" s="497" t="s">
        <v>3</v>
      </c>
      <c r="AM559" s="63"/>
      <c r="AN559" s="63"/>
      <c r="AO559" s="64"/>
      <c r="AP559" s="469"/>
      <c r="AQ559" s="64"/>
      <c r="AR559" s="469">
        <f>+AR557-AR558</f>
        <v>31531</v>
      </c>
      <c r="AS559" s="64"/>
      <c r="AT559" s="64"/>
      <c r="AU559" s="64"/>
      <c r="AV559" s="484">
        <f>+AR559/AR557</f>
        <v>0.5662183274372834</v>
      </c>
      <c r="AW559" s="468"/>
      <c r="AX559" s="500"/>
    </row>
    <row r="560" spans="2:87" ht="15" thickBot="1" x14ac:dyDescent="0.35">
      <c r="D560" s="427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10"/>
      <c r="AE560" s="507"/>
      <c r="AF560" s="548"/>
      <c r="AG560" s="33">
        <f>SUM(W113:W143)</f>
        <v>25901</v>
      </c>
      <c r="AH560" s="1"/>
      <c r="AI560" s="485"/>
      <c r="AJ560" s="470"/>
      <c r="AK560" s="471"/>
      <c r="AL560" s="471"/>
      <c r="AM560" s="471"/>
      <c r="AN560" s="471"/>
      <c r="AO560" s="471"/>
      <c r="AP560" s="471"/>
      <c r="AQ560" s="471"/>
      <c r="AR560" s="471"/>
      <c r="AS560" s="471"/>
      <c r="AT560" s="471"/>
      <c r="AU560" s="471"/>
      <c r="AV560" s="471"/>
      <c r="AW560" s="472"/>
      <c r="AX560" s="500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1"/>
      <c r="BT560" s="1"/>
      <c r="BU560" s="1"/>
      <c r="BV560" s="1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</row>
    <row r="561" spans="4:87" x14ac:dyDescent="0.3"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10"/>
      <c r="AE561" s="507"/>
      <c r="AF561" s="507"/>
      <c r="AG561" s="507"/>
      <c r="AH561" s="507"/>
      <c r="AI561" s="507"/>
      <c r="AJ561" s="500"/>
      <c r="AK561" s="500"/>
      <c r="AL561" s="500"/>
      <c r="AM561" s="500"/>
      <c r="AN561" s="500"/>
      <c r="AO561" s="500"/>
      <c r="AP561" s="500"/>
      <c r="AQ561" s="500"/>
      <c r="AR561" s="500"/>
      <c r="AS561" s="500"/>
      <c r="AT561" s="500"/>
      <c r="AU561" s="500"/>
      <c r="AV561" s="500"/>
      <c r="AW561" s="500"/>
      <c r="AX561" s="500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77"/>
      <c r="BX561" s="77"/>
      <c r="BY561" s="77"/>
      <c r="BZ561" s="77"/>
      <c r="CA561" s="109"/>
      <c r="CB561" s="1"/>
      <c r="CC561" s="1"/>
      <c r="CD561" s="1"/>
      <c r="CE561" s="1"/>
      <c r="CF561" s="1"/>
      <c r="CG561" s="1"/>
      <c r="CH561" s="1"/>
      <c r="CI561" s="1"/>
    </row>
    <row r="562" spans="4:87" x14ac:dyDescent="0.3">
      <c r="D562">
        <v>10</v>
      </c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10"/>
      <c r="AE562" s="10"/>
      <c r="AF562" s="10"/>
      <c r="AG562" s="10"/>
      <c r="AH562" s="10"/>
      <c r="AI562" s="10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77"/>
      <c r="BX562" s="77"/>
      <c r="BY562" s="77"/>
      <c r="BZ562" s="77"/>
      <c r="CA562" s="77"/>
      <c r="CB562" s="1"/>
      <c r="CC562" s="1"/>
      <c r="CD562" s="1"/>
      <c r="CE562" s="1"/>
      <c r="CF562" s="1"/>
      <c r="CG562" s="1"/>
      <c r="CH562" s="1"/>
      <c r="CI562" s="1"/>
    </row>
    <row r="563" spans="4:87" x14ac:dyDescent="0.3">
      <c r="D563" s="1">
        <v>77000000</v>
      </c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10"/>
      <c r="AE563" s="10"/>
      <c r="AF563" s="10"/>
      <c r="AG563" s="10"/>
      <c r="AH563" s="10"/>
      <c r="AI563" s="10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77"/>
      <c r="BX563" s="77"/>
      <c r="BY563" s="77"/>
      <c r="BZ563" s="77"/>
      <c r="CA563" s="77"/>
      <c r="CB563" s="1"/>
      <c r="CC563" s="1"/>
      <c r="CD563" s="1"/>
      <c r="CE563" s="1"/>
      <c r="CF563" s="1"/>
      <c r="CG563" s="1"/>
    </row>
    <row r="564" spans="4:87" x14ac:dyDescent="0.3">
      <c r="D564" s="57">
        <f>+D563/D566</f>
        <v>0.23262839879154079</v>
      </c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10"/>
      <c r="AE564" s="10"/>
      <c r="AF564" s="10"/>
      <c r="AG564" s="501"/>
      <c r="AH564" s="10"/>
      <c r="AI564" s="10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77"/>
      <c r="BX564" s="77"/>
      <c r="BY564" s="77"/>
      <c r="BZ564" s="77"/>
      <c r="CA564" s="77"/>
      <c r="CB564" s="1"/>
      <c r="CC564" s="1"/>
      <c r="CD564" s="1"/>
      <c r="CE564" s="1"/>
      <c r="CF564" s="1"/>
      <c r="CG564" s="1"/>
    </row>
    <row r="565" spans="4:87" x14ac:dyDescent="0.3"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10"/>
      <c r="AE565" s="10"/>
      <c r="AF565" s="507"/>
      <c r="AG565" s="526"/>
      <c r="AH565" s="507"/>
      <c r="AI565" s="507"/>
      <c r="AJ565" s="500"/>
      <c r="AK565" s="500"/>
      <c r="AL565" s="500"/>
      <c r="AM565" s="500"/>
      <c r="AN565" s="500"/>
      <c r="AO565" s="500"/>
      <c r="AP565" s="500"/>
      <c r="AQ565" s="500"/>
      <c r="AR565" s="500"/>
      <c r="AS565" s="500"/>
      <c r="AT565" s="500"/>
      <c r="AU565" s="500"/>
      <c r="AV565" s="500"/>
      <c r="AW565" s="500"/>
      <c r="AX565" s="500"/>
      <c r="AY565" s="500"/>
      <c r="AZ565" s="500"/>
      <c r="BA565" s="500"/>
      <c r="BB565" s="500"/>
      <c r="BC565" s="500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77"/>
      <c r="BX565" s="77"/>
      <c r="BY565" s="110"/>
      <c r="BZ565" s="77"/>
      <c r="CA565" s="77"/>
    </row>
    <row r="566" spans="4:87" x14ac:dyDescent="0.3">
      <c r="D566" s="1">
        <v>331000000</v>
      </c>
      <c r="H566">
        <v>0.13400000000000001</v>
      </c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10"/>
      <c r="AE566" s="10"/>
      <c r="AF566" s="507"/>
      <c r="AG566" s="527"/>
      <c r="AH566" s="507"/>
      <c r="AI566" s="507"/>
      <c r="AJ566" s="524"/>
      <c r="AK566" s="524"/>
      <c r="AL566" s="525"/>
      <c r="AM566" s="525"/>
      <c r="AN566" s="525"/>
      <c r="AO566" s="525"/>
      <c r="AP566" s="525"/>
      <c r="AQ566" s="525"/>
      <c r="AR566" s="525"/>
      <c r="AS566" s="525"/>
      <c r="AT566" s="525"/>
      <c r="AU566" s="525"/>
      <c r="AV566" s="525"/>
      <c r="AW566" s="525"/>
      <c r="AX566" s="525"/>
      <c r="AY566" s="525"/>
      <c r="AZ566" s="525"/>
      <c r="BA566" s="525"/>
      <c r="BB566" s="524"/>
      <c r="BC566" s="524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77"/>
      <c r="BX566" s="77"/>
      <c r="BY566" s="77"/>
      <c r="BZ566" s="77"/>
      <c r="CA566" s="77"/>
    </row>
    <row r="567" spans="4:87" x14ac:dyDescent="0.3">
      <c r="D567" s="1">
        <f>+D566*H566</f>
        <v>44354000</v>
      </c>
      <c r="H567" s="1">
        <f>+D567*0.001</f>
        <v>44354</v>
      </c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10"/>
      <c r="AE567" s="10"/>
      <c r="AF567" s="507"/>
      <c r="AG567" s="526"/>
      <c r="AH567" s="507"/>
      <c r="AI567" s="507"/>
      <c r="AJ567" s="524"/>
      <c r="AK567" s="524"/>
      <c r="AL567" s="138"/>
      <c r="AM567" s="138"/>
      <c r="AN567" s="138"/>
      <c r="AO567" s="138"/>
      <c r="AP567" s="138"/>
      <c r="AQ567" s="138"/>
      <c r="AR567" s="138"/>
      <c r="AS567" s="78"/>
      <c r="AT567" s="78"/>
      <c r="AU567" s="78"/>
      <c r="AV567" s="98"/>
      <c r="AW567" s="98"/>
      <c r="AX567" s="98"/>
      <c r="AY567" s="98"/>
      <c r="AZ567" s="524"/>
      <c r="BA567" s="524"/>
      <c r="BB567" s="530"/>
      <c r="BC567" s="524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77"/>
      <c r="BX567" s="77"/>
      <c r="BY567" s="77"/>
      <c r="BZ567" s="77"/>
      <c r="CA567" s="77"/>
    </row>
    <row r="568" spans="4:87" x14ac:dyDescent="0.3">
      <c r="D568" s="425">
        <v>7.1999999999999995E-2</v>
      </c>
      <c r="H568" s="1">
        <f>+AA204*H566</f>
        <v>28746.886000000002</v>
      </c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10"/>
      <c r="AE568" s="10"/>
      <c r="AF568" s="507"/>
      <c r="AG568" s="526">
        <v>44031</v>
      </c>
      <c r="AH568" s="507"/>
      <c r="AI568" s="507"/>
      <c r="AJ568" s="524"/>
      <c r="AK568" s="524"/>
      <c r="AL568" s="138"/>
      <c r="AM568" s="138"/>
      <c r="AN568" s="138"/>
      <c r="AO568" s="138"/>
      <c r="AP568" s="138"/>
      <c r="AQ568" s="138"/>
      <c r="AR568" s="138"/>
      <c r="AS568" s="138"/>
      <c r="AT568" s="98"/>
      <c r="AU568" s="78"/>
      <c r="AV568" s="98"/>
      <c r="AW568" s="98"/>
      <c r="AX568" s="98"/>
      <c r="AY568" s="98"/>
      <c r="AZ568" s="524"/>
      <c r="BA568" s="524"/>
      <c r="BB568" s="530"/>
      <c r="BC568" s="524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77"/>
      <c r="BX568" s="77"/>
      <c r="BY568" s="77"/>
      <c r="BZ568" s="77"/>
      <c r="CA568" s="77"/>
    </row>
    <row r="569" spans="4:87" x14ac:dyDescent="0.3"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10"/>
      <c r="AE569" s="10"/>
      <c r="AF569" s="507"/>
      <c r="AG569" s="526">
        <v>44038</v>
      </c>
      <c r="AH569" s="507"/>
      <c r="AI569" s="507"/>
      <c r="AJ569" s="524"/>
      <c r="AK569" s="524"/>
      <c r="AL569" s="78"/>
      <c r="AM569" s="78"/>
      <c r="AN569" s="139"/>
      <c r="AO569" s="139"/>
      <c r="AP569" s="139"/>
      <c r="AQ569" s="139"/>
      <c r="AR569" s="139"/>
      <c r="AS569" s="78"/>
      <c r="AT569" s="78"/>
      <c r="AU569" s="78"/>
      <c r="AV569" s="98"/>
      <c r="AW569" s="98"/>
      <c r="AX569" s="98"/>
      <c r="AY569" s="98"/>
      <c r="AZ569" s="524"/>
      <c r="BA569" s="524"/>
      <c r="BB569" s="530"/>
      <c r="BC569" s="524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77"/>
      <c r="BX569" s="77"/>
      <c r="BY569" s="77"/>
      <c r="BZ569" s="77"/>
      <c r="CA569" s="77"/>
    </row>
    <row r="570" spans="4:87" x14ac:dyDescent="0.3">
      <c r="D570" s="235">
        <v>4.2000000000000003E-2</v>
      </c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10"/>
      <c r="AE570" s="10"/>
      <c r="AF570" s="507"/>
      <c r="AG570" s="526">
        <v>44045</v>
      </c>
      <c r="AH570" s="507"/>
      <c r="AI570" s="507"/>
      <c r="AJ570" s="524"/>
      <c r="AK570" s="524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98"/>
      <c r="AW570" s="98"/>
      <c r="AX570" s="98"/>
      <c r="AY570" s="98"/>
      <c r="AZ570" s="524"/>
      <c r="BA570" s="524"/>
      <c r="BB570" s="530"/>
      <c r="BC570" s="524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4:87" x14ac:dyDescent="0.3">
      <c r="D571" s="531">
        <f>+D566*D568*D570</f>
        <v>1000944.0000000001</v>
      </c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10"/>
      <c r="AE571" s="10"/>
      <c r="AF571" s="507"/>
      <c r="AG571" s="526">
        <v>44052</v>
      </c>
      <c r="AH571" s="507"/>
      <c r="AI571" s="507"/>
      <c r="AJ571" s="524"/>
      <c r="AK571" s="524"/>
      <c r="AL571" s="78"/>
      <c r="AM571" s="78"/>
      <c r="AN571" s="139"/>
      <c r="AO571" s="139"/>
      <c r="AP571" s="139"/>
      <c r="AQ571" s="139"/>
      <c r="AR571" s="139"/>
      <c r="AS571" s="139"/>
      <c r="AT571" s="139"/>
      <c r="AU571" s="78"/>
      <c r="AV571" s="98"/>
      <c r="AW571" s="98"/>
      <c r="AX571" s="98"/>
      <c r="AY571" s="98"/>
      <c r="AZ571" s="524"/>
      <c r="BA571" s="524"/>
      <c r="BB571" s="530"/>
      <c r="BC571" s="524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4:87" x14ac:dyDescent="0.3"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10"/>
      <c r="AE572" s="10"/>
      <c r="AF572" s="507"/>
      <c r="AG572" s="526"/>
      <c r="AH572" s="507"/>
      <c r="AI572" s="507"/>
      <c r="AJ572" s="524"/>
      <c r="AK572" s="524"/>
      <c r="AL572" s="78"/>
      <c r="AM572" s="78"/>
      <c r="AN572" s="139"/>
      <c r="AO572" s="139"/>
      <c r="AP572" s="139"/>
      <c r="AQ572" s="139"/>
      <c r="AR572" s="139"/>
      <c r="AS572" s="139"/>
      <c r="AT572" s="139"/>
      <c r="AU572" s="78"/>
      <c r="AV572" s="98"/>
      <c r="AW572" s="98"/>
      <c r="AX572" s="98"/>
      <c r="AY572" s="98"/>
      <c r="AZ572" s="524"/>
      <c r="BA572" s="524"/>
      <c r="BB572" s="530"/>
      <c r="BC572" s="524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4:87" x14ac:dyDescent="0.3"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10"/>
      <c r="AE573" s="10"/>
      <c r="AF573" s="507"/>
      <c r="AG573" s="526"/>
      <c r="AH573" s="507"/>
      <c r="AI573" s="507"/>
      <c r="AJ573" s="524"/>
      <c r="AK573" s="524"/>
      <c r="AL573" s="78"/>
      <c r="AM573" s="78"/>
      <c r="AN573" s="139"/>
      <c r="AO573" s="139"/>
      <c r="AP573" s="139"/>
      <c r="AQ573" s="139"/>
      <c r="AR573" s="139"/>
      <c r="AS573" s="139"/>
      <c r="AT573" s="139"/>
      <c r="AU573" s="78"/>
      <c r="AV573" s="98"/>
      <c r="AW573" s="98"/>
      <c r="AX573" s="98"/>
      <c r="AY573" s="98"/>
      <c r="AZ573" s="524"/>
      <c r="BA573" s="524"/>
      <c r="BB573" s="530"/>
      <c r="BC573" s="524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4:87" x14ac:dyDescent="0.3"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10"/>
      <c r="AE574" s="10"/>
      <c r="AF574" s="507"/>
      <c r="AG574" s="528"/>
      <c r="AH574" s="507"/>
      <c r="AI574" s="507"/>
      <c r="AJ574" s="524"/>
      <c r="AK574" s="524"/>
      <c r="AL574" s="78"/>
      <c r="AM574" s="78"/>
      <c r="AN574" s="139"/>
      <c r="AO574" s="139"/>
      <c r="AP574" s="139"/>
      <c r="AQ574" s="139"/>
      <c r="AR574" s="139"/>
      <c r="AS574" s="139"/>
      <c r="AT574" s="139"/>
      <c r="AU574" s="78"/>
      <c r="AV574" s="98"/>
      <c r="AW574" s="98"/>
      <c r="AX574" s="98"/>
      <c r="AY574" s="98"/>
      <c r="AZ574" s="524"/>
      <c r="BA574" s="524"/>
      <c r="BB574" s="530"/>
      <c r="BC574" s="524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4:87" x14ac:dyDescent="0.3"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10"/>
      <c r="AE575" s="10"/>
      <c r="AF575" s="507"/>
      <c r="AG575" s="507"/>
      <c r="AH575" s="507"/>
      <c r="AI575" s="507"/>
      <c r="AJ575" s="524"/>
      <c r="AK575" s="524"/>
      <c r="AL575" s="78"/>
      <c r="AM575" s="78"/>
      <c r="AN575" s="139"/>
      <c r="AO575" s="139"/>
      <c r="AP575" s="139"/>
      <c r="AQ575" s="139"/>
      <c r="AR575" s="139"/>
      <c r="AS575" s="139"/>
      <c r="AT575" s="139"/>
      <c r="AU575" s="78"/>
      <c r="AV575" s="98"/>
      <c r="AW575" s="98"/>
      <c r="AX575" s="98"/>
      <c r="AY575" s="98"/>
      <c r="AZ575" s="524"/>
      <c r="BA575" s="524"/>
      <c r="BB575" s="530"/>
      <c r="BC575" s="524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4:87" x14ac:dyDescent="0.3"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10"/>
      <c r="AE576" s="10"/>
      <c r="AF576" s="507"/>
      <c r="AG576" s="507"/>
      <c r="AH576" s="507"/>
      <c r="AI576" s="507"/>
      <c r="AJ576" s="524"/>
      <c r="AK576" s="524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78"/>
      <c r="AW576" s="78"/>
      <c r="AX576" s="78"/>
      <c r="AY576" s="78"/>
      <c r="AZ576" s="524"/>
      <c r="BA576" s="530"/>
      <c r="BB576" s="530"/>
      <c r="BC576" s="524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2:79" x14ac:dyDescent="0.3">
      <c r="AD577" s="10"/>
      <c r="AE577" s="10"/>
      <c r="AF577" s="507"/>
      <c r="AG577" s="507"/>
      <c r="AH577" s="507"/>
      <c r="AI577" s="507"/>
      <c r="AJ577" s="524"/>
      <c r="AK577" s="524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78"/>
      <c r="AW577" s="78"/>
      <c r="AX577" s="78"/>
      <c r="AY577" s="78"/>
      <c r="AZ577" s="524"/>
      <c r="BA577" s="530"/>
      <c r="BB577" s="530"/>
      <c r="BC577" s="524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2:79" ht="15" thickBot="1" x14ac:dyDescent="0.35">
      <c r="B578" s="500"/>
      <c r="C578" s="500"/>
      <c r="D578" s="500"/>
      <c r="E578" s="500"/>
      <c r="F578" s="500"/>
      <c r="G578" s="500"/>
      <c r="H578" s="500"/>
      <c r="I578" s="500"/>
      <c r="J578" s="500"/>
      <c r="K578" s="500"/>
      <c r="L578" s="500"/>
      <c r="M578" s="500"/>
      <c r="N578" s="500"/>
      <c r="O578" s="500"/>
      <c r="P578" s="500"/>
      <c r="Q578" s="500"/>
      <c r="R578" s="500"/>
      <c r="S578" s="500"/>
      <c r="T578" s="500"/>
      <c r="U578" s="500"/>
      <c r="V578" s="500"/>
      <c r="AD578" s="10"/>
      <c r="AE578" s="10"/>
      <c r="AF578" s="507"/>
      <c r="AG578" s="507"/>
      <c r="AH578" s="507"/>
      <c r="AI578" s="507"/>
      <c r="AJ578" s="524"/>
      <c r="AK578" s="524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78"/>
      <c r="AW578" s="78"/>
      <c r="AX578" s="78"/>
      <c r="AY578" s="78"/>
      <c r="AZ578" s="524"/>
      <c r="BA578" s="530"/>
      <c r="BB578" s="530"/>
      <c r="BC578" s="524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2:79" x14ac:dyDescent="0.3">
      <c r="B579" s="500"/>
      <c r="C579" s="510"/>
      <c r="D579" s="357"/>
      <c r="E579" s="357"/>
      <c r="F579" s="357"/>
      <c r="G579" s="357"/>
      <c r="H579" s="357"/>
      <c r="I579" s="357"/>
      <c r="J579" s="357"/>
      <c r="K579" s="357"/>
      <c r="L579" s="357"/>
      <c r="M579" s="357"/>
      <c r="N579" s="357"/>
      <c r="O579" s="357"/>
      <c r="P579" s="511"/>
      <c r="V579" s="500"/>
      <c r="AD579" s="10"/>
      <c r="AE579" s="10"/>
      <c r="AF579" s="507"/>
      <c r="AG579" s="507"/>
      <c r="AH579" s="507"/>
      <c r="AI579" s="507"/>
      <c r="AJ579" s="524"/>
      <c r="AK579" s="524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78"/>
      <c r="AW579" s="78"/>
      <c r="AX579" s="78"/>
      <c r="AY579" s="78"/>
      <c r="AZ579" s="524"/>
      <c r="BA579" s="530"/>
      <c r="BB579" s="530"/>
      <c r="BC579" s="524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2:79" x14ac:dyDescent="0.3">
      <c r="B580" s="500"/>
      <c r="C580" s="512"/>
      <c r="D580" s="502" t="s">
        <v>149</v>
      </c>
      <c r="E580" s="387"/>
      <c r="F580" s="387"/>
      <c r="G580" s="387"/>
      <c r="H580" s="587" t="s">
        <v>20</v>
      </c>
      <c r="I580" s="587"/>
      <c r="J580" s="587"/>
      <c r="K580" s="387"/>
      <c r="L580" s="387"/>
      <c r="M580" s="387"/>
      <c r="N580" s="387"/>
      <c r="O580" s="387"/>
      <c r="P580" s="513"/>
      <c r="V580" s="500"/>
      <c r="AD580" s="10"/>
      <c r="AE580" s="10"/>
      <c r="AF580" s="507"/>
      <c r="AG580" s="507"/>
      <c r="AH580" s="507"/>
      <c r="AI580" s="507"/>
      <c r="AJ580" s="524"/>
      <c r="AK580" s="524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78"/>
      <c r="AW580" s="78"/>
      <c r="AX580" s="78"/>
      <c r="AY580" s="78"/>
      <c r="AZ580" s="524"/>
      <c r="BA580" s="530"/>
      <c r="BB580" s="530"/>
      <c r="BC580" s="524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2:79" x14ac:dyDescent="0.3">
      <c r="B581" s="500"/>
      <c r="C581" s="512"/>
      <c r="D581" s="514" t="s">
        <v>150</v>
      </c>
      <c r="E581" s="387"/>
      <c r="F581" s="387"/>
      <c r="G581" s="387"/>
      <c r="H581" s="515" t="s">
        <v>147</v>
      </c>
      <c r="I581" s="502"/>
      <c r="J581" s="516" t="s">
        <v>148</v>
      </c>
      <c r="K581" s="502"/>
      <c r="L581" s="502"/>
      <c r="M581" s="502"/>
      <c r="N581" s="502"/>
      <c r="O581" s="517" t="s">
        <v>3</v>
      </c>
      <c r="P581" s="513"/>
      <c r="V581" s="500"/>
      <c r="AD581" s="10"/>
      <c r="AE581" s="10"/>
      <c r="AF581" s="507"/>
      <c r="AG581" s="507"/>
      <c r="AH581" s="507"/>
      <c r="AI581" s="507"/>
      <c r="AJ581" s="524"/>
      <c r="AK581" s="524"/>
      <c r="AL581" s="529"/>
      <c r="AM581" s="529"/>
      <c r="AN581" s="529"/>
      <c r="AO581" s="529"/>
      <c r="AP581" s="529"/>
      <c r="AQ581" s="529"/>
      <c r="AR581" s="529"/>
      <c r="AS581" s="529"/>
      <c r="AT581" s="529"/>
      <c r="AU581" s="529"/>
      <c r="AV581" s="524"/>
      <c r="AW581" s="524"/>
      <c r="AX581" s="524"/>
      <c r="AY581" s="524"/>
      <c r="AZ581" s="524"/>
      <c r="BA581" s="530"/>
      <c r="BB581" s="530"/>
      <c r="BC581" s="524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2:79" x14ac:dyDescent="0.3">
      <c r="B582" s="500"/>
      <c r="C582" s="512"/>
      <c r="D582" s="503" t="s">
        <v>146</v>
      </c>
      <c r="E582" s="15"/>
      <c r="F582" s="15"/>
      <c r="G582" s="15"/>
      <c r="H582" s="518">
        <f>SUM(D133:D139)</f>
        <v>471981</v>
      </c>
      <c r="I582" s="15"/>
      <c r="J582" s="16">
        <f>+H582/7</f>
        <v>67425.857142857145</v>
      </c>
      <c r="K582" s="15"/>
      <c r="L582" s="15"/>
      <c r="M582" s="15"/>
      <c r="N582" s="15"/>
      <c r="O582" s="15"/>
      <c r="P582" s="513"/>
      <c r="V582" s="500"/>
      <c r="AD582" s="10"/>
      <c r="AE582" s="10"/>
      <c r="AF582" s="507"/>
      <c r="AG582" s="507"/>
      <c r="AH582" s="507"/>
      <c r="AI582" s="507"/>
      <c r="AJ582" s="524"/>
      <c r="AK582" s="524"/>
      <c r="AL582" s="529"/>
      <c r="AM582" s="529"/>
      <c r="AN582" s="529"/>
      <c r="AO582" s="529"/>
      <c r="AP582" s="529"/>
      <c r="AQ582" s="529"/>
      <c r="AR582" s="529"/>
      <c r="AS582" s="529"/>
      <c r="AT582" s="529"/>
      <c r="AU582" s="529"/>
      <c r="AV582" s="529"/>
      <c r="AW582" s="529"/>
      <c r="AX582" s="529"/>
      <c r="AY582" s="529"/>
      <c r="AZ582" s="524"/>
      <c r="BA582" s="524"/>
      <c r="BB582" s="530"/>
      <c r="BC582" s="524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2:79" x14ac:dyDescent="0.3">
      <c r="B583" s="500"/>
      <c r="C583" s="512"/>
      <c r="D583" s="503" t="s">
        <v>145</v>
      </c>
      <c r="E583" s="15"/>
      <c r="F583" s="15"/>
      <c r="G583" s="15"/>
      <c r="H583" s="16">
        <f>SUM(D140:D146)</f>
        <v>427527</v>
      </c>
      <c r="I583" s="15"/>
      <c r="J583" s="16">
        <f>+H583/7</f>
        <v>61075.285714285717</v>
      </c>
      <c r="K583" s="15"/>
      <c r="L583" s="15"/>
      <c r="M583" s="15"/>
      <c r="N583" s="15"/>
      <c r="O583" s="15"/>
      <c r="P583" s="513"/>
      <c r="V583" s="500"/>
      <c r="AJ583" s="98"/>
      <c r="AK583" s="98"/>
      <c r="AL583" s="98"/>
      <c r="AM583" s="98"/>
      <c r="AN583" s="98"/>
      <c r="AO583" s="98"/>
      <c r="AP583" s="98"/>
      <c r="AQ583" s="98"/>
      <c r="AR583" s="98"/>
      <c r="AS583" s="98"/>
      <c r="AT583" s="78"/>
      <c r="AU583" s="98"/>
      <c r="AV583" s="140"/>
      <c r="AW583" s="140"/>
      <c r="AX583" s="140"/>
      <c r="AY583" s="140"/>
      <c r="AZ583" s="98"/>
      <c r="BA583" s="98"/>
      <c r="BB583" s="98"/>
      <c r="BC583" s="98"/>
    </row>
    <row r="584" spans="2:79" x14ac:dyDescent="0.3">
      <c r="B584" s="506"/>
      <c r="C584" s="512"/>
      <c r="D584" s="503" t="s">
        <v>144</v>
      </c>
      <c r="E584" s="15"/>
      <c r="F584" s="15"/>
      <c r="G584" s="15"/>
      <c r="H584" s="16">
        <f>SUM(D147:D153)</f>
        <v>383516</v>
      </c>
      <c r="I584" s="15"/>
      <c r="J584" s="16">
        <f>+H584/7</f>
        <v>54788</v>
      </c>
      <c r="K584" s="15"/>
      <c r="L584" s="15"/>
      <c r="M584" s="15"/>
      <c r="N584" s="15"/>
      <c r="O584" s="518">
        <f>+H582-H584</f>
        <v>88465</v>
      </c>
      <c r="P584" s="513"/>
      <c r="V584" s="500"/>
      <c r="AA584">
        <f>+O584/7</f>
        <v>12637.857142857143</v>
      </c>
      <c r="AJ584" s="98"/>
      <c r="AK584" s="98"/>
      <c r="AL584" s="98"/>
      <c r="AM584" s="98"/>
      <c r="AN584" s="98"/>
      <c r="AO584" s="98"/>
      <c r="AP584" s="98"/>
      <c r="AQ584" s="98"/>
      <c r="AR584" s="98"/>
      <c r="AS584" s="98"/>
      <c r="AT584" s="98"/>
      <c r="AU584" s="98"/>
      <c r="AV584" s="78"/>
      <c r="AW584" s="78"/>
      <c r="AX584" s="78"/>
      <c r="AY584" s="78"/>
      <c r="AZ584" s="98"/>
      <c r="BA584" s="141"/>
      <c r="BB584" s="98"/>
      <c r="BC584" s="98"/>
    </row>
    <row r="585" spans="2:79" x14ac:dyDescent="0.3">
      <c r="B585" s="507"/>
      <c r="C585" s="512"/>
      <c r="D585" s="51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60">
        <f>+O584/H582</f>
        <v>0.18743339244588236</v>
      </c>
      <c r="P585" s="513"/>
      <c r="V585" s="500"/>
      <c r="X585" s="61"/>
      <c r="Y585" s="61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  <c r="AN585" s="98"/>
      <c r="AO585" s="98"/>
      <c r="AP585" s="78">
        <v>480454</v>
      </c>
      <c r="AQ585" s="98"/>
      <c r="AR585" s="98"/>
      <c r="AS585" s="98"/>
      <c r="AT585" s="98"/>
      <c r="AU585" s="98"/>
      <c r="AV585" s="98"/>
      <c r="AW585" s="98"/>
      <c r="AX585" s="98"/>
      <c r="AY585" s="98"/>
      <c r="AZ585" s="98"/>
      <c r="BA585" s="98"/>
      <c r="BB585" s="98"/>
      <c r="BC585" s="98"/>
    </row>
    <row r="586" spans="2:79" ht="15" thickBot="1" x14ac:dyDescent="0.35">
      <c r="B586" s="507"/>
      <c r="C586" s="520"/>
      <c r="D586" s="521"/>
      <c r="E586" s="521"/>
      <c r="F586" s="521"/>
      <c r="G586" s="521"/>
      <c r="H586" s="521"/>
      <c r="I586" s="521"/>
      <c r="J586" s="522"/>
      <c r="K586" s="521"/>
      <c r="L586" s="521"/>
      <c r="M586" s="521"/>
      <c r="N586" s="521"/>
      <c r="O586" s="521"/>
      <c r="P586" s="523"/>
      <c r="V586" s="500"/>
      <c r="X586" s="61"/>
      <c r="Y586" s="61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  <c r="AN586" s="98"/>
      <c r="AO586" s="98"/>
      <c r="AP586" s="140">
        <f>+N201</f>
        <v>290088</v>
      </c>
      <c r="AQ586" s="98"/>
      <c r="AR586" s="98"/>
      <c r="AS586" s="98"/>
      <c r="AT586" s="98"/>
      <c r="AU586" s="98"/>
      <c r="AV586" s="98"/>
      <c r="AW586" s="98"/>
      <c r="AX586" s="98"/>
      <c r="AY586" s="98"/>
      <c r="AZ586" s="98"/>
      <c r="BA586" s="98"/>
      <c r="BB586" s="98"/>
      <c r="BC586" s="98"/>
    </row>
    <row r="587" spans="2:79" x14ac:dyDescent="0.3">
      <c r="B587" s="507"/>
      <c r="C587" s="500"/>
      <c r="D587" s="508"/>
      <c r="E587" s="500"/>
      <c r="F587" s="500"/>
      <c r="G587" s="500"/>
      <c r="H587" s="509"/>
      <c r="I587" s="500"/>
      <c r="J587" s="500"/>
      <c r="K587" s="500"/>
      <c r="L587" s="500"/>
      <c r="M587" s="500"/>
      <c r="N587" s="500"/>
      <c r="O587" s="500"/>
      <c r="P587" s="500"/>
      <c r="Q587" s="500"/>
      <c r="R587" s="500"/>
      <c r="S587" s="500"/>
      <c r="T587" s="500"/>
      <c r="U587" s="500"/>
      <c r="V587" s="500"/>
      <c r="X587" s="61"/>
      <c r="Y587" s="61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  <c r="AN587" s="98"/>
      <c r="AO587" s="98"/>
      <c r="AP587" s="140">
        <f>+AP585-AP586</f>
        <v>190366</v>
      </c>
      <c r="AQ587" s="98"/>
      <c r="AR587" s="98"/>
    </row>
    <row r="588" spans="2:79" x14ac:dyDescent="0.3">
      <c r="B588" s="1"/>
      <c r="D588" s="55"/>
      <c r="X588" s="61"/>
      <c r="Y588" s="61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  <c r="AN588" s="98"/>
      <c r="AO588" s="98"/>
      <c r="AP588" s="84">
        <f>+AP587/AP585</f>
        <v>0.3962210742339537</v>
      </c>
      <c r="AQ588" s="98"/>
      <c r="AR588" s="98"/>
    </row>
    <row r="589" spans="2:79" x14ac:dyDescent="0.3">
      <c r="B589" s="55"/>
      <c r="D589" s="55"/>
      <c r="J589" s="56">
        <f>+J582-J584</f>
        <v>12637.857142857145</v>
      </c>
      <c r="X589" s="61"/>
      <c r="Y589" s="61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  <c r="AN589" s="98"/>
      <c r="AO589" s="98"/>
      <c r="AP589" s="98"/>
      <c r="AQ589" s="98"/>
      <c r="AR589" s="98"/>
    </row>
    <row r="590" spans="2:79" x14ac:dyDescent="0.3">
      <c r="B590" s="57"/>
      <c r="D590" s="55"/>
      <c r="X590" s="61"/>
      <c r="Y590" s="61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  <c r="AN590" s="98"/>
      <c r="AO590" s="98"/>
      <c r="AP590" s="98"/>
      <c r="AQ590" s="98"/>
      <c r="AR590" s="98"/>
    </row>
    <row r="591" spans="2:79" x14ac:dyDescent="0.3">
      <c r="B591" s="1"/>
      <c r="D591" s="55"/>
      <c r="X591" s="61"/>
      <c r="Y591" s="61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  <c r="AN591" s="98"/>
      <c r="AO591" s="98"/>
      <c r="AP591" s="98"/>
      <c r="AQ591" s="98"/>
      <c r="AR591" s="98"/>
    </row>
    <row r="592" spans="2:79" x14ac:dyDescent="0.3">
      <c r="B592" s="1"/>
      <c r="D592" s="55"/>
      <c r="Z592" s="106"/>
      <c r="AA592" s="106"/>
      <c r="AB592" s="106"/>
      <c r="AC592" s="106"/>
      <c r="AD592" s="106"/>
      <c r="AE592" s="106"/>
      <c r="AF592" s="106"/>
      <c r="AG592" s="106"/>
      <c r="AH592" s="106"/>
      <c r="AI592" s="106"/>
      <c r="AJ592" s="106"/>
      <c r="AK592" s="106"/>
      <c r="AL592" s="106"/>
      <c r="AM592" s="106"/>
      <c r="AN592" s="106"/>
      <c r="AO592" s="106"/>
      <c r="AP592" s="106"/>
      <c r="AQ592" s="106"/>
      <c r="AR592" s="106"/>
    </row>
    <row r="593" spans="2:61" x14ac:dyDescent="0.3">
      <c r="B593" s="1"/>
      <c r="D593" s="55"/>
      <c r="AT593" s="500"/>
      <c r="AU593" s="500"/>
      <c r="AV593" s="500"/>
      <c r="AW593" s="500"/>
      <c r="AX593" s="500"/>
      <c r="AY593" s="500"/>
      <c r="AZ593" s="500"/>
      <c r="BA593" s="500"/>
      <c r="BB593" s="500"/>
      <c r="BC593" s="500"/>
      <c r="BD593" s="500"/>
      <c r="BE593" s="500"/>
      <c r="BF593" s="500"/>
      <c r="BG593" s="500"/>
      <c r="BH593" s="500"/>
      <c r="BI593" s="500"/>
    </row>
    <row r="594" spans="2:61" ht="15.6" x14ac:dyDescent="0.3">
      <c r="B594" s="1"/>
      <c r="D594" s="55"/>
      <c r="AT594" s="500"/>
      <c r="AU594" s="533"/>
      <c r="AV594" s="534"/>
      <c r="AW594" s="534"/>
      <c r="AX594" s="534"/>
      <c r="AY594" s="534"/>
      <c r="AZ594" s="534"/>
      <c r="BA594" s="534"/>
      <c r="BB594" s="534"/>
      <c r="BC594" s="534"/>
      <c r="BD594" s="534"/>
      <c r="BE594" s="534" t="s">
        <v>156</v>
      </c>
      <c r="BF594" s="534"/>
      <c r="BG594" s="534" t="s">
        <v>2</v>
      </c>
      <c r="BH594" s="533"/>
      <c r="BI594" s="500"/>
    </row>
    <row r="595" spans="2:61" ht="16.2" thickBot="1" x14ac:dyDescent="0.35">
      <c r="B595" s="57" t="e">
        <f>+B594/B593</f>
        <v>#DIV/0!</v>
      </c>
      <c r="D595" s="55"/>
      <c r="AT595" s="500"/>
      <c r="AU595" s="533"/>
      <c r="AV595" s="583" t="s">
        <v>155</v>
      </c>
      <c r="AW595" s="583"/>
      <c r="AX595" s="583"/>
      <c r="AY595" s="534"/>
      <c r="AZ595" s="534"/>
      <c r="BA595" s="535" t="s">
        <v>20</v>
      </c>
      <c r="BB595" s="534"/>
      <c r="BC595" s="535" t="s">
        <v>3</v>
      </c>
      <c r="BD595" s="534"/>
      <c r="BE595" s="535" t="s">
        <v>65</v>
      </c>
      <c r="BF595" s="534"/>
      <c r="BG595" s="535" t="s">
        <v>65</v>
      </c>
      <c r="BH595" s="533"/>
      <c r="BI595" s="500"/>
    </row>
    <row r="596" spans="2:61" ht="21" x14ac:dyDescent="0.4">
      <c r="B596" s="1"/>
      <c r="D596" s="55"/>
      <c r="AT596" s="500"/>
      <c r="AU596" s="533"/>
      <c r="AV596" s="536" t="s">
        <v>143</v>
      </c>
      <c r="AW596" s="533"/>
      <c r="AX596" s="537"/>
      <c r="AY596" s="533"/>
      <c r="AZ596" s="533"/>
      <c r="BA596" s="538">
        <f>+N143</f>
        <v>1970617</v>
      </c>
      <c r="BB596" s="537"/>
      <c r="BC596" s="537"/>
      <c r="BD596" s="537"/>
      <c r="BE596" s="537"/>
      <c r="BF596" s="537"/>
      <c r="BG596" s="537"/>
      <c r="BH596" s="533"/>
      <c r="BI596" s="500"/>
    </row>
    <row r="597" spans="2:61" ht="21" x14ac:dyDescent="0.4">
      <c r="B597" s="1"/>
      <c r="D597" s="55"/>
      <c r="AT597" s="500"/>
      <c r="AU597" s="533"/>
      <c r="AV597" s="536" t="s">
        <v>151</v>
      </c>
      <c r="AW597" s="533"/>
      <c r="AX597" s="537"/>
      <c r="AY597" s="533"/>
      <c r="AZ597" s="533"/>
      <c r="BA597" s="538">
        <f>+N174</f>
        <v>1493931</v>
      </c>
      <c r="BB597" s="537"/>
      <c r="BC597" s="538">
        <f>+BA597-BA596</f>
        <v>-476686</v>
      </c>
      <c r="BD597" s="537"/>
      <c r="BE597" s="539">
        <f>+BC597/BA596</f>
        <v>-0.24189682723735764</v>
      </c>
      <c r="BF597" s="537"/>
      <c r="BG597" s="537"/>
      <c r="BH597" s="533"/>
      <c r="BI597" s="500"/>
    </row>
    <row r="598" spans="2:61" ht="21" x14ac:dyDescent="0.4">
      <c r="B598" s="1">
        <f>+B594*50</f>
        <v>0</v>
      </c>
      <c r="D598" s="55"/>
      <c r="AT598" s="500"/>
      <c r="AU598" s="533"/>
      <c r="AV598" s="536" t="s">
        <v>152</v>
      </c>
      <c r="AW598" s="533"/>
      <c r="AX598" s="537"/>
      <c r="AY598" s="533"/>
      <c r="AZ598" s="533"/>
      <c r="BA598" s="538">
        <f>+N204</f>
        <v>1202331</v>
      </c>
      <c r="BB598" s="537"/>
      <c r="BC598" s="538">
        <f>+BA598-BA597</f>
        <v>-291600</v>
      </c>
      <c r="BD598" s="537"/>
      <c r="BE598" s="539">
        <f>+BC598/BA597</f>
        <v>-0.19518973767864781</v>
      </c>
      <c r="BF598" s="537"/>
      <c r="BG598" s="537"/>
      <c r="BH598" s="533"/>
      <c r="BI598" s="500"/>
    </row>
    <row r="599" spans="2:61" ht="21" x14ac:dyDescent="0.4">
      <c r="B599" s="1"/>
      <c r="D599" s="55"/>
      <c r="AT599" s="500"/>
      <c r="AU599" s="533"/>
      <c r="AV599" s="536" t="s">
        <v>153</v>
      </c>
      <c r="AW599" s="533"/>
      <c r="AX599" s="537"/>
      <c r="AY599" s="533"/>
      <c r="AZ599" s="540" t="s">
        <v>26</v>
      </c>
      <c r="BA599" s="538">
        <f>+N218</f>
        <v>371489</v>
      </c>
      <c r="BB599" s="537"/>
      <c r="BC599" s="538">
        <f>+BA599-BA598</f>
        <v>-830842</v>
      </c>
      <c r="BD599" s="537"/>
      <c r="BE599" s="539">
        <f>+BC599/BA598</f>
        <v>-0.69102601529861574</v>
      </c>
      <c r="BF599" s="537"/>
      <c r="BG599" s="539">
        <f>+(BA599-BA596)/BA596</f>
        <v>-0.81148594577231392</v>
      </c>
      <c r="BH599" s="533"/>
      <c r="BI599" s="500"/>
    </row>
    <row r="600" spans="2:61" x14ac:dyDescent="0.3">
      <c r="B600" s="1"/>
      <c r="D600" s="55"/>
      <c r="AT600" s="500"/>
      <c r="AU600" s="533"/>
      <c r="AV600" s="533"/>
      <c r="AW600" s="533"/>
      <c r="AX600" s="533"/>
      <c r="AY600" s="533"/>
      <c r="AZ600" s="533"/>
      <c r="BA600" s="533"/>
      <c r="BB600" s="533"/>
      <c r="BC600" s="533"/>
      <c r="BD600" s="533"/>
      <c r="BE600" s="533"/>
      <c r="BF600" s="533"/>
      <c r="BG600" s="533"/>
      <c r="BH600" s="533"/>
      <c r="BI600" s="500"/>
    </row>
    <row r="601" spans="2:61" ht="16.2" x14ac:dyDescent="0.3">
      <c r="B601" s="1"/>
      <c r="D601" s="55"/>
      <c r="AT601" s="500"/>
      <c r="AU601" s="533"/>
      <c r="AV601" s="533"/>
      <c r="AW601" s="533"/>
      <c r="AX601" s="541" t="s">
        <v>26</v>
      </c>
      <c r="AY601" s="533"/>
      <c r="AZ601" s="542" t="s">
        <v>154</v>
      </c>
      <c r="BA601" s="533"/>
      <c r="BB601" s="533"/>
      <c r="BC601" s="533"/>
      <c r="BD601" s="533"/>
      <c r="BE601" s="533"/>
      <c r="BF601" s="533"/>
      <c r="BG601" s="533"/>
      <c r="BH601" s="533"/>
      <c r="BI601" s="500"/>
    </row>
    <row r="602" spans="2:61" x14ac:dyDescent="0.3">
      <c r="B602" s="1"/>
      <c r="D602" s="55"/>
      <c r="AT602" s="500"/>
      <c r="AU602" s="533"/>
      <c r="AV602" s="533"/>
      <c r="AW602" s="533"/>
      <c r="AX602" s="533"/>
      <c r="AY602" s="533"/>
      <c r="AZ602" s="533"/>
      <c r="BA602" s="533"/>
      <c r="BB602" s="533"/>
      <c r="BC602" s="533"/>
      <c r="BD602" s="533"/>
      <c r="BE602" s="533"/>
      <c r="BF602" s="533"/>
      <c r="BG602" s="533"/>
      <c r="BH602" s="533"/>
      <c r="BI602" s="500"/>
    </row>
    <row r="603" spans="2:61" x14ac:dyDescent="0.3">
      <c r="B603" s="1"/>
      <c r="D603" s="55"/>
      <c r="AT603" s="532"/>
      <c r="AU603" s="532"/>
      <c r="AV603" s="532"/>
      <c r="AW603" s="532"/>
      <c r="AX603" s="532"/>
      <c r="AY603" s="532"/>
      <c r="AZ603" s="532"/>
      <c r="BA603" s="532"/>
      <c r="BB603" s="532"/>
      <c r="BC603" s="532"/>
      <c r="BD603" s="532"/>
      <c r="BE603" s="532"/>
      <c r="BF603" s="532"/>
      <c r="BG603" s="532"/>
      <c r="BH603" s="532"/>
      <c r="BI603" s="532"/>
    </row>
    <row r="604" spans="2:61" x14ac:dyDescent="0.3">
      <c r="B604" s="1"/>
      <c r="D604" s="55"/>
    </row>
    <row r="605" spans="2:61" x14ac:dyDescent="0.3">
      <c r="B605" s="1"/>
      <c r="D605" s="55"/>
      <c r="AS605" s="61"/>
      <c r="AT605" s="500"/>
      <c r="AU605" s="500"/>
      <c r="AV605" s="500"/>
      <c r="AW605" s="500"/>
      <c r="AX605" s="500"/>
      <c r="AY605" s="500"/>
      <c r="AZ605" s="500"/>
      <c r="BA605" s="500"/>
      <c r="BB605" s="500"/>
      <c r="BC605" s="500"/>
      <c r="BD605" s="500"/>
      <c r="BE605" s="500"/>
      <c r="BF605" s="500"/>
      <c r="BG605" s="500"/>
      <c r="BH605" s="500"/>
      <c r="BI605" s="500"/>
    </row>
    <row r="606" spans="2:61" x14ac:dyDescent="0.3">
      <c r="B606" s="1"/>
      <c r="D606" s="55"/>
      <c r="AT606" s="500"/>
      <c r="AU606" s="550"/>
      <c r="AV606" s="550"/>
      <c r="AW606" s="550"/>
      <c r="AX606" s="550"/>
      <c r="AY606" s="550"/>
      <c r="AZ606" s="550"/>
      <c r="BA606" s="550"/>
      <c r="BB606" s="550"/>
      <c r="BC606" s="550"/>
      <c r="BD606" s="550"/>
      <c r="BE606" s="550"/>
      <c r="BF606" s="550"/>
      <c r="BG606" s="550"/>
      <c r="BH606" s="550"/>
      <c r="BI606" s="500"/>
    </row>
    <row r="607" spans="2:61" ht="15" thickBot="1" x14ac:dyDescent="0.35">
      <c r="B607" s="1"/>
      <c r="D607" s="55"/>
      <c r="AT607" s="500"/>
      <c r="AU607" s="550"/>
      <c r="AV607" s="591" t="s">
        <v>160</v>
      </c>
      <c r="AW607" s="591"/>
      <c r="AX607" s="591"/>
      <c r="AY607" s="551"/>
      <c r="AZ607" s="551"/>
      <c r="BA607" s="552" t="s">
        <v>23</v>
      </c>
      <c r="BB607" s="553"/>
      <c r="BC607" s="552" t="s">
        <v>3</v>
      </c>
      <c r="BD607" s="553"/>
      <c r="BE607" s="552" t="s">
        <v>20</v>
      </c>
      <c r="BF607" s="553"/>
      <c r="BG607" s="552" t="s">
        <v>21</v>
      </c>
      <c r="BH607" s="550"/>
      <c r="BI607" s="500"/>
    </row>
    <row r="608" spans="2:61" x14ac:dyDescent="0.3">
      <c r="B608" s="1"/>
      <c r="AT608" s="500"/>
      <c r="AU608" s="550"/>
      <c r="AV608" s="551" t="s">
        <v>143</v>
      </c>
      <c r="AW608" s="551"/>
      <c r="AX608" s="551"/>
      <c r="AY608" s="551"/>
      <c r="AZ608" s="551"/>
      <c r="BA608" s="554">
        <f>+BK275</f>
        <v>13351981</v>
      </c>
      <c r="BB608" s="551"/>
      <c r="BC608" s="551"/>
      <c r="BD608" s="551"/>
      <c r="BE608" s="555">
        <f>+N143</f>
        <v>1970617</v>
      </c>
      <c r="BF608" s="551"/>
      <c r="BG608" s="556">
        <f>+BE608/BA608</f>
        <v>0.14758985951223269</v>
      </c>
      <c r="BH608" s="550"/>
      <c r="BI608" s="500"/>
    </row>
    <row r="609" spans="2:68" x14ac:dyDescent="0.3">
      <c r="B609" s="1"/>
      <c r="AT609" s="500"/>
      <c r="AU609" s="550"/>
      <c r="AV609" s="551"/>
      <c r="AW609" s="551"/>
      <c r="AX609" s="551"/>
      <c r="AY609" s="551"/>
      <c r="AZ609" s="551"/>
      <c r="BA609" s="554"/>
      <c r="BB609" s="551"/>
      <c r="BC609" s="551"/>
      <c r="BD609" s="551"/>
      <c r="BE609" s="551"/>
      <c r="BF609" s="551"/>
      <c r="BG609" s="556"/>
      <c r="BH609" s="550"/>
      <c r="BI609" s="500"/>
    </row>
    <row r="610" spans="2:68" x14ac:dyDescent="0.3">
      <c r="B610" s="1"/>
      <c r="AT610" s="500"/>
      <c r="AU610" s="550"/>
      <c r="AV610" s="551" t="s">
        <v>159</v>
      </c>
      <c r="AW610" s="551"/>
      <c r="AX610" s="551"/>
      <c r="AY610" s="551"/>
      <c r="AZ610" s="551"/>
      <c r="BA610" s="554">
        <v>52440389</v>
      </c>
      <c r="BB610" s="551"/>
      <c r="BC610" s="556">
        <f>+(BA610-BA608)/BA608</f>
        <v>2.9275362210296736</v>
      </c>
      <c r="BD610" s="551"/>
      <c r="BE610" s="555">
        <f>+N273</f>
        <v>1462688</v>
      </c>
      <c r="BF610" s="551"/>
      <c r="BG610" s="556">
        <f>+BE610/BA610</f>
        <v>2.7892394162064665E-2</v>
      </c>
      <c r="BH610" s="550"/>
      <c r="BI610" s="500"/>
    </row>
    <row r="611" spans="2:68" x14ac:dyDescent="0.3">
      <c r="B611" s="1"/>
      <c r="AT611" s="500"/>
      <c r="AU611" s="550"/>
      <c r="AV611" s="551"/>
      <c r="AW611" s="551"/>
      <c r="AX611" s="551"/>
      <c r="AY611" s="551"/>
      <c r="AZ611" s="551"/>
      <c r="BA611" s="554"/>
      <c r="BB611" s="551"/>
      <c r="BC611" s="551"/>
      <c r="BD611" s="551"/>
      <c r="BE611" s="551"/>
      <c r="BF611" s="551"/>
      <c r="BG611" s="551"/>
      <c r="BH611" s="550"/>
      <c r="BI611" s="500"/>
    </row>
    <row r="612" spans="2:68" x14ac:dyDescent="0.3">
      <c r="B612" s="1"/>
      <c r="AT612" s="500"/>
      <c r="AU612" s="550"/>
      <c r="AV612" s="580" t="s">
        <v>105</v>
      </c>
      <c r="AW612" s="580"/>
      <c r="AX612" s="580"/>
      <c r="AY612" s="580"/>
      <c r="AZ612" s="551"/>
      <c r="BA612" s="555">
        <f>+BA610-BA608</f>
        <v>39088408</v>
      </c>
      <c r="BB612" s="551"/>
      <c r="BC612" s="551"/>
      <c r="BD612" s="551"/>
      <c r="BE612" s="555">
        <f>+BE610-BE608</f>
        <v>-507929</v>
      </c>
      <c r="BF612" s="551"/>
      <c r="BG612" s="558"/>
      <c r="BH612" s="550"/>
      <c r="BI612" s="500"/>
    </row>
    <row r="613" spans="2:68" x14ac:dyDescent="0.3">
      <c r="B613" s="1"/>
      <c r="AT613" s="500"/>
      <c r="AU613" s="550"/>
      <c r="AV613" s="550"/>
      <c r="AW613" s="550"/>
      <c r="AX613" s="550"/>
      <c r="AY613" s="550"/>
      <c r="AZ613" s="550"/>
      <c r="BA613" s="550"/>
      <c r="BB613" s="550"/>
      <c r="BC613" s="550"/>
      <c r="BD613" s="550"/>
      <c r="BE613" s="550"/>
      <c r="BF613" s="550"/>
      <c r="BG613" s="550"/>
      <c r="BH613" s="550"/>
      <c r="BI613" s="500"/>
    </row>
    <row r="614" spans="2:68" x14ac:dyDescent="0.3">
      <c r="B614" s="1"/>
      <c r="AT614" s="500"/>
      <c r="AU614" s="500"/>
      <c r="AV614" s="500"/>
      <c r="AW614" s="500"/>
      <c r="AX614" s="500"/>
      <c r="AY614" s="500"/>
      <c r="AZ614" s="500"/>
      <c r="BA614" s="500"/>
      <c r="BB614" s="500"/>
      <c r="BC614" s="500"/>
      <c r="BD614" s="500"/>
      <c r="BE614" s="557"/>
      <c r="BF614" s="500"/>
      <c r="BG614" s="507"/>
      <c r="BH614" s="500"/>
      <c r="BI614" s="500"/>
    </row>
    <row r="615" spans="2:68" x14ac:dyDescent="0.3">
      <c r="B615" s="1"/>
    </row>
    <row r="616" spans="2:68" x14ac:dyDescent="0.3">
      <c r="B616" s="1"/>
    </row>
    <row r="617" spans="2:68" x14ac:dyDescent="0.3">
      <c r="B617" s="1"/>
      <c r="H617" s="1">
        <v>4000000</v>
      </c>
      <c r="AR617" s="500"/>
      <c r="AS617" s="500"/>
      <c r="AT617" s="500"/>
      <c r="AU617" s="500"/>
      <c r="AV617" s="500"/>
      <c r="AW617" s="500"/>
      <c r="AX617" s="500"/>
      <c r="AY617" s="500"/>
      <c r="AZ617" s="500"/>
      <c r="BA617" s="500"/>
      <c r="BB617" s="500"/>
      <c r="BC617" s="500"/>
      <c r="BD617" s="500"/>
      <c r="BE617" s="500"/>
      <c r="BF617" s="500"/>
      <c r="BG617" s="500"/>
      <c r="BH617" s="500"/>
      <c r="BI617" s="500"/>
    </row>
    <row r="618" spans="2:68" ht="15.6" x14ac:dyDescent="0.3">
      <c r="B618" s="1"/>
      <c r="H618" s="1"/>
      <c r="AR618" s="500"/>
      <c r="AS618" s="586" t="s">
        <v>170</v>
      </c>
      <c r="AT618" s="586"/>
      <c r="AU618" s="586"/>
      <c r="AV618" s="586"/>
      <c r="AW618" s="586"/>
      <c r="AX618" s="586"/>
      <c r="AY618" s="586"/>
      <c r="AZ618" s="586"/>
      <c r="BA618" s="586"/>
      <c r="BB618" s="586"/>
      <c r="BC618" s="586"/>
      <c r="BD618" s="586"/>
      <c r="BE618" s="586"/>
      <c r="BF618" s="586"/>
      <c r="BG618" s="586"/>
      <c r="BH618" s="586"/>
      <c r="BI618" s="500"/>
    </row>
    <row r="619" spans="2:68" x14ac:dyDescent="0.3">
      <c r="H619" s="1">
        <f>+H617/7</f>
        <v>571428.57142857148</v>
      </c>
      <c r="AR619" s="500"/>
      <c r="AS619" s="533"/>
      <c r="AT619" s="561"/>
      <c r="AU619" s="561"/>
      <c r="AV619" s="561"/>
      <c r="AW619" s="561"/>
      <c r="AX619" s="561"/>
      <c r="AY619" s="561"/>
      <c r="AZ619" s="561"/>
      <c r="BA619" s="561"/>
      <c r="BB619" s="561"/>
      <c r="BC619" s="561"/>
      <c r="BD619" s="561"/>
      <c r="BE619" s="581" t="s">
        <v>166</v>
      </c>
      <c r="BF619" s="561"/>
      <c r="BG619" s="627" t="s">
        <v>167</v>
      </c>
      <c r="BH619" s="533"/>
      <c r="BI619" s="500"/>
    </row>
    <row r="620" spans="2:68" x14ac:dyDescent="0.3">
      <c r="AR620" s="500"/>
      <c r="AS620" s="533"/>
      <c r="AT620" s="589" t="s">
        <v>19</v>
      </c>
      <c r="AU620" s="589"/>
      <c r="AV620" s="589"/>
      <c r="AW620" s="589"/>
      <c r="AX620" s="589"/>
      <c r="AY620" s="589"/>
      <c r="AZ620" s="561"/>
      <c r="BA620" s="560" t="s">
        <v>20</v>
      </c>
      <c r="BB620" s="561"/>
      <c r="BC620" s="560" t="s">
        <v>165</v>
      </c>
      <c r="BD620" s="561"/>
      <c r="BE620" s="582"/>
      <c r="BF620" s="561"/>
      <c r="BG620" s="624"/>
      <c r="BH620" s="533"/>
      <c r="BI620" s="500"/>
    </row>
    <row r="621" spans="2:68" x14ac:dyDescent="0.3">
      <c r="H621" t="s">
        <v>168</v>
      </c>
      <c r="J621">
        <v>28</v>
      </c>
      <c r="N621" s="1">
        <f>+H619*J621</f>
        <v>16000000.000000002</v>
      </c>
      <c r="AR621" s="500"/>
      <c r="AS621" s="533"/>
      <c r="AT621" s="626" t="s">
        <v>162</v>
      </c>
      <c r="AU621" s="626"/>
      <c r="AV621" s="626"/>
      <c r="AW621" s="626"/>
      <c r="AX621" s="626"/>
      <c r="AY621" s="561"/>
      <c r="AZ621" s="561"/>
      <c r="BA621" s="562">
        <f>+H174</f>
        <v>6826001</v>
      </c>
      <c r="BB621" s="561"/>
      <c r="BC621" s="561">
        <v>10</v>
      </c>
      <c r="BD621" s="561"/>
      <c r="BE621" s="563">
        <f>+BA621*BC621</f>
        <v>68260010</v>
      </c>
      <c r="BF621" s="561"/>
      <c r="BG621" s="561"/>
      <c r="BH621" s="533"/>
      <c r="BI621" s="500"/>
      <c r="BP621" s="56">
        <f>+BE621-BA621</f>
        <v>61434009</v>
      </c>
    </row>
    <row r="622" spans="2:68" x14ac:dyDescent="0.3">
      <c r="D622" s="56">
        <f>+N621+N622</f>
        <v>33714285.714285716</v>
      </c>
      <c r="H622" t="s">
        <v>169</v>
      </c>
      <c r="J622">
        <v>31</v>
      </c>
      <c r="N622" s="1">
        <f>+J622*H$619</f>
        <v>17714285.714285716</v>
      </c>
      <c r="AR622" s="500"/>
      <c r="AS622" s="533"/>
      <c r="AT622" s="626" t="s">
        <v>171</v>
      </c>
      <c r="AU622" s="626"/>
      <c r="AV622" s="626"/>
      <c r="AW622" s="626"/>
      <c r="AX622" s="626"/>
      <c r="AY622" s="561"/>
      <c r="AZ622" s="561"/>
      <c r="BA622" s="562">
        <f>+BA634-BA621</f>
        <v>3109228</v>
      </c>
      <c r="BB622" s="561"/>
      <c r="BC622" s="561">
        <v>5</v>
      </c>
      <c r="BD622" s="561"/>
      <c r="BE622" s="563">
        <f>+BA622*BC622</f>
        <v>15546140</v>
      </c>
      <c r="BF622" s="561"/>
      <c r="BG622" s="561"/>
      <c r="BH622" s="533"/>
      <c r="BI622" s="500"/>
      <c r="BP622" s="56">
        <f>+BE622-BA622</f>
        <v>12436912</v>
      </c>
    </row>
    <row r="623" spans="2:68" x14ac:dyDescent="0.3">
      <c r="D623" s="56">
        <f>+D622+N623</f>
        <v>50857142.857142866</v>
      </c>
      <c r="H623" t="s">
        <v>138</v>
      </c>
      <c r="J623">
        <v>30</v>
      </c>
      <c r="N623" s="1">
        <f>+J623*H$619</f>
        <v>17142857.142857146</v>
      </c>
      <c r="AR623" s="500"/>
      <c r="AS623" s="533"/>
      <c r="AT623" s="626" t="s">
        <v>163</v>
      </c>
      <c r="AU623" s="626"/>
      <c r="AV623" s="626"/>
      <c r="AW623" s="626"/>
      <c r="AX623" s="626"/>
      <c r="AY623" s="626"/>
      <c r="AZ623" s="626"/>
      <c r="BA623" s="562">
        <f>+BA636-BA634</f>
        <v>16784558</v>
      </c>
      <c r="BB623" s="561"/>
      <c r="BC623" s="561">
        <v>1</v>
      </c>
      <c r="BD623" s="561"/>
      <c r="BE623" s="563">
        <f>+BC623*BA623</f>
        <v>16784558</v>
      </c>
      <c r="BF623" s="561"/>
      <c r="BG623" s="561"/>
      <c r="BH623" s="533"/>
      <c r="BI623" s="500"/>
      <c r="BP623" s="56">
        <f>+BE623-BA623</f>
        <v>0</v>
      </c>
    </row>
    <row r="624" spans="2:68" x14ac:dyDescent="0.3">
      <c r="D624" s="56">
        <f>+D623+N624</f>
        <v>68571428.571428582</v>
      </c>
      <c r="H624" t="s">
        <v>139</v>
      </c>
      <c r="J624">
        <v>31</v>
      </c>
      <c r="N624" s="1">
        <f>+J624*H$619</f>
        <v>17714285.714285716</v>
      </c>
      <c r="AR624" s="500"/>
      <c r="AS624" s="533"/>
      <c r="AT624" s="569" t="s">
        <v>183</v>
      </c>
      <c r="AU624" s="561"/>
      <c r="AV624" s="561"/>
      <c r="AW624" s="561"/>
      <c r="AX624" s="561"/>
      <c r="AY624" s="561"/>
      <c r="AZ624" s="561"/>
      <c r="BA624" s="562">
        <f>SUM(D328:D386)</f>
        <v>4197929</v>
      </c>
      <c r="BB624" s="561"/>
      <c r="BC624" s="561">
        <v>1</v>
      </c>
      <c r="BD624" s="561"/>
      <c r="BE624" s="563">
        <f>+BC624*BA624</f>
        <v>4197929</v>
      </c>
      <c r="BF624" s="561"/>
      <c r="BG624" s="561"/>
      <c r="BH624" s="533"/>
      <c r="BI624" s="500"/>
      <c r="BP624" s="56">
        <f>+BE624-BA624</f>
        <v>0</v>
      </c>
    </row>
    <row r="625" spans="4:75" x14ac:dyDescent="0.3">
      <c r="D625" s="56"/>
      <c r="N625" s="1"/>
      <c r="AR625" s="500"/>
      <c r="AS625" s="533"/>
      <c r="AT625" s="569" t="s">
        <v>188</v>
      </c>
      <c r="AU625" s="561"/>
      <c r="AV625" s="561"/>
      <c r="AW625" s="561"/>
      <c r="AX625" s="561"/>
      <c r="AY625" s="561"/>
      <c r="AZ625" s="561"/>
      <c r="BA625" s="562">
        <f>SUM(D387:D509)</f>
        <v>4225210</v>
      </c>
      <c r="BB625" s="561"/>
      <c r="BC625" s="561">
        <v>1</v>
      </c>
      <c r="BD625" s="561"/>
      <c r="BE625" s="563">
        <f>+BC625*BA625</f>
        <v>4225210</v>
      </c>
      <c r="BF625" s="561"/>
      <c r="BG625" s="561"/>
      <c r="BH625" s="533"/>
      <c r="BI625" s="500"/>
      <c r="BP625" s="56"/>
    </row>
    <row r="626" spans="4:75" x14ac:dyDescent="0.3">
      <c r="AR626" s="500"/>
      <c r="AS626" s="533"/>
      <c r="AT626" s="626" t="s">
        <v>189</v>
      </c>
      <c r="AU626" s="626"/>
      <c r="AV626" s="626"/>
      <c r="AW626" s="626"/>
      <c r="AX626" s="626"/>
      <c r="AY626" s="626"/>
      <c r="AZ626" s="626"/>
      <c r="BA626" s="562">
        <f>SUM(D510:D523)</f>
        <v>1367513</v>
      </c>
      <c r="BB626" s="561"/>
      <c r="BC626" s="561"/>
      <c r="BD626" s="561"/>
      <c r="BE626" s="563"/>
      <c r="BF626" s="561"/>
      <c r="BG626" s="561"/>
      <c r="BH626" s="533"/>
      <c r="BI626" s="500"/>
      <c r="BP626" s="56">
        <f>+BA624-BA625</f>
        <v>-27281</v>
      </c>
    </row>
    <row r="627" spans="4:75" ht="15" thickBot="1" x14ac:dyDescent="0.35">
      <c r="D627" s="56">
        <f>+BE627+D624</f>
        <v>177585275.5714286</v>
      </c>
      <c r="H627" s="59">
        <f>+D627/320000000</f>
        <v>0.55495398616071434</v>
      </c>
      <c r="AR627" s="500"/>
      <c r="AS627" s="533"/>
      <c r="AT627" s="561"/>
      <c r="AU627" s="561"/>
      <c r="AV627" s="561"/>
      <c r="AW627" s="561"/>
      <c r="AX627" s="561"/>
      <c r="AY627" s="561"/>
      <c r="AZ627" s="561"/>
      <c r="BA627" s="564">
        <f>SUM(BA621:BA626)</f>
        <v>36510439</v>
      </c>
      <c r="BB627" s="561"/>
      <c r="BC627" s="561"/>
      <c r="BD627" s="561"/>
      <c r="BE627" s="564">
        <f>SUM(BE621:BE626)</f>
        <v>109013847</v>
      </c>
      <c r="BF627" s="561"/>
      <c r="BG627" s="565">
        <f>+BE627/320000000</f>
        <v>0.34066827187499998</v>
      </c>
      <c r="BH627" s="533"/>
      <c r="BI627" s="500"/>
      <c r="BP627" s="59">
        <f>+BP626/BA624</f>
        <v>-6.4986806589630271E-3</v>
      </c>
    </row>
    <row r="628" spans="4:75" ht="15" thickTop="1" x14ac:dyDescent="0.3">
      <c r="D628" s="56"/>
      <c r="H628" s="59"/>
      <c r="AR628" s="500"/>
      <c r="AS628" s="533"/>
      <c r="AT628" s="575" t="s">
        <v>185</v>
      </c>
      <c r="AU628" s="561"/>
      <c r="AV628" s="561"/>
      <c r="AW628" s="561"/>
      <c r="AX628" s="561"/>
      <c r="AY628" s="561"/>
      <c r="AZ628" s="561"/>
      <c r="BA628" s="484">
        <f>+BY648</f>
        <v>0.51297297297297295</v>
      </c>
      <c r="BB628" s="561"/>
      <c r="BC628" s="561"/>
      <c r="BD628" s="561"/>
      <c r="BE628" s="574"/>
      <c r="BF628" s="561"/>
      <c r="BG628" s="484"/>
      <c r="BH628" s="533"/>
      <c r="BI628" s="500"/>
      <c r="BP628" s="59"/>
    </row>
    <row r="629" spans="4:75" x14ac:dyDescent="0.3">
      <c r="D629" s="56"/>
      <c r="H629" s="59"/>
      <c r="AR629" s="500"/>
      <c r="AS629" s="533"/>
      <c r="AT629" s="575" t="s">
        <v>187</v>
      </c>
      <c r="AU629" s="561"/>
      <c r="AV629" s="561"/>
      <c r="AW629" s="561"/>
      <c r="AX629" s="561"/>
      <c r="AY629" s="561"/>
      <c r="AZ629" s="561"/>
      <c r="BA629" s="576">
        <f>+BA627*BA628</f>
        <v>18728868.438378379</v>
      </c>
      <c r="BB629" s="561"/>
      <c r="BC629" s="561"/>
      <c r="BD629" s="561"/>
      <c r="BE629" s="574"/>
      <c r="BF629" s="561"/>
      <c r="BG629" s="484"/>
      <c r="BH629" s="533"/>
      <c r="BI629" s="500"/>
      <c r="BP629" s="59"/>
    </row>
    <row r="630" spans="4:75" ht="15" thickBot="1" x14ac:dyDescent="0.35">
      <c r="D630" s="56"/>
      <c r="H630" s="59"/>
      <c r="AR630" s="500"/>
      <c r="AS630" s="533"/>
      <c r="AT630" s="575" t="s">
        <v>186</v>
      </c>
      <c r="AU630" s="561"/>
      <c r="AV630" s="561"/>
      <c r="AW630" s="561"/>
      <c r="AX630" s="561"/>
      <c r="AY630" s="561"/>
      <c r="AZ630" s="561"/>
      <c r="BA630" s="564">
        <f>+BA627-BA629</f>
        <v>17781570.561621621</v>
      </c>
      <c r="BB630" s="561"/>
      <c r="BC630" s="561"/>
      <c r="BD630" s="561"/>
      <c r="BE630" s="574"/>
      <c r="BF630" s="561"/>
      <c r="BG630" s="484"/>
      <c r="BH630" s="533"/>
      <c r="BI630" s="500"/>
      <c r="BP630" s="59"/>
    </row>
    <row r="631" spans="4:75" ht="15" thickTop="1" x14ac:dyDescent="0.3">
      <c r="AR631" s="500"/>
      <c r="AS631" s="533"/>
      <c r="AT631" s="561"/>
      <c r="AU631" s="561"/>
      <c r="AV631" s="561"/>
      <c r="AW631" s="561"/>
      <c r="AX631" s="561"/>
      <c r="AY631" s="561"/>
      <c r="AZ631" s="561"/>
      <c r="BA631" s="561"/>
      <c r="BB631" s="561"/>
      <c r="BC631" s="561"/>
      <c r="BD631" s="561"/>
      <c r="BE631" s="561"/>
      <c r="BF631" s="561"/>
      <c r="BG631" s="561"/>
      <c r="BH631" s="533"/>
      <c r="BI631" s="500"/>
      <c r="BP631">
        <v>35761323</v>
      </c>
      <c r="BR631" s="56">
        <f>+BA627-BP631</f>
        <v>749116</v>
      </c>
    </row>
    <row r="632" spans="4:75" x14ac:dyDescent="0.3">
      <c r="AR632" s="500"/>
      <c r="AS632" s="500"/>
      <c r="AT632" s="500"/>
      <c r="AU632" s="500"/>
      <c r="AV632" s="500"/>
      <c r="AW632" s="500"/>
      <c r="AX632" s="500"/>
      <c r="AY632" s="500"/>
      <c r="AZ632" s="500"/>
      <c r="BA632" s="500"/>
      <c r="BB632" s="500"/>
      <c r="BC632" s="500"/>
      <c r="BD632" s="500"/>
      <c r="BE632" s="500"/>
      <c r="BF632" s="500"/>
      <c r="BG632" s="500"/>
      <c r="BH632" s="500"/>
      <c r="BI632" s="500"/>
    </row>
    <row r="633" spans="4:75" x14ac:dyDescent="0.3">
      <c r="BP633" s="579">
        <v>221538504.58886749</v>
      </c>
      <c r="BQ633" s="628"/>
      <c r="BR633" s="628"/>
      <c r="BS633" s="628"/>
      <c r="BT633" s="628"/>
    </row>
    <row r="634" spans="4:75" x14ac:dyDescent="0.3">
      <c r="AV634" t="s">
        <v>153</v>
      </c>
      <c r="BA634" s="56">
        <f>+H235</f>
        <v>9935229</v>
      </c>
    </row>
    <row r="636" spans="4:75" x14ac:dyDescent="0.3">
      <c r="AV636" t="s">
        <v>164</v>
      </c>
      <c r="BA636" s="56">
        <f>+H327</f>
        <v>26719787</v>
      </c>
    </row>
    <row r="637" spans="4:75" x14ac:dyDescent="0.3">
      <c r="BA637" s="56"/>
    </row>
    <row r="638" spans="4:75" x14ac:dyDescent="0.3">
      <c r="AR638" s="500"/>
      <c r="AS638" s="500"/>
      <c r="AT638" s="500"/>
      <c r="AU638" s="500"/>
      <c r="AV638" s="500"/>
      <c r="AW638" s="500"/>
      <c r="AX638" s="500"/>
      <c r="AY638" s="500"/>
      <c r="AZ638" s="500"/>
      <c r="BA638" s="557"/>
      <c r="BB638" s="500"/>
      <c r="BC638" s="500"/>
      <c r="BD638" s="500"/>
      <c r="BE638" s="500"/>
      <c r="BF638" s="500"/>
      <c r="BG638" s="500"/>
      <c r="BH638" s="500"/>
      <c r="BI638" s="500"/>
      <c r="BJ638" s="500"/>
      <c r="BK638" s="500"/>
      <c r="BL638" s="500"/>
      <c r="BM638" s="500"/>
      <c r="BN638" s="500"/>
      <c r="BO638" s="500"/>
      <c r="BP638" s="500"/>
      <c r="BQ638" s="500"/>
      <c r="BR638" s="500"/>
      <c r="BS638" s="500"/>
      <c r="BT638" s="500"/>
      <c r="BU638" s="500"/>
      <c r="BV638" s="500"/>
      <c r="BW638" s="500"/>
    </row>
    <row r="639" spans="4:75" ht="14.4" customHeight="1" x14ac:dyDescent="0.3">
      <c r="AR639" s="500"/>
      <c r="AS639" s="533"/>
      <c r="AT639" s="589" t="s">
        <v>176</v>
      </c>
      <c r="AU639" s="589"/>
      <c r="AV639" s="589"/>
      <c r="AW639" s="589"/>
      <c r="AX639" s="589"/>
      <c r="AY639" s="589"/>
      <c r="AZ639" s="589"/>
      <c r="BA639" s="589"/>
      <c r="BB639" s="589"/>
      <c r="BC639" s="589"/>
      <c r="BD639" s="589"/>
      <c r="BE639" s="589"/>
      <c r="BF639" s="589"/>
      <c r="BG639" s="589"/>
      <c r="BH639" s="589"/>
      <c r="BI639" s="589"/>
      <c r="BJ639" s="589"/>
      <c r="BK639" s="589"/>
      <c r="BL639" s="589"/>
      <c r="BM639" s="589"/>
      <c r="BN639" s="589"/>
      <c r="BO639" s="589"/>
      <c r="BP639" s="589"/>
      <c r="BQ639" s="589"/>
      <c r="BR639" s="589"/>
      <c r="BS639" s="589"/>
      <c r="BT639" s="589"/>
      <c r="BU639" s="589"/>
      <c r="BV639" s="589"/>
      <c r="BW639" s="500"/>
    </row>
    <row r="640" spans="4:75" ht="14.4" customHeight="1" x14ac:dyDescent="0.3">
      <c r="AR640" s="500"/>
      <c r="AS640" s="533"/>
      <c r="AT640" s="533"/>
      <c r="AU640" s="533"/>
      <c r="AV640" s="533"/>
      <c r="AW640" s="533"/>
      <c r="AX640" s="533"/>
      <c r="AY640" s="533"/>
      <c r="AZ640" s="533"/>
      <c r="BA640" s="629" t="s">
        <v>172</v>
      </c>
      <c r="BB640" s="629"/>
      <c r="BC640" s="629"/>
      <c r="BD640" s="629"/>
      <c r="BE640" s="629"/>
      <c r="BF640" s="561"/>
      <c r="BG640" s="589" t="s">
        <v>180</v>
      </c>
      <c r="BH640" s="589"/>
      <c r="BI640" s="589"/>
      <c r="BJ640" s="589"/>
      <c r="BK640" s="589"/>
      <c r="BL640" s="589"/>
      <c r="BM640" s="589"/>
      <c r="BN640" s="589"/>
      <c r="BO640" s="589"/>
      <c r="BP640" s="589"/>
      <c r="BQ640" s="533"/>
      <c r="BR640" s="623" t="s">
        <v>176</v>
      </c>
      <c r="BS640" s="623"/>
      <c r="BT640" s="623"/>
      <c r="BU640" s="623"/>
      <c r="BV640" s="623"/>
      <c r="BW640" s="500"/>
    </row>
    <row r="641" spans="44:90" x14ac:dyDescent="0.3">
      <c r="AR641" s="500"/>
      <c r="AS641" s="533"/>
      <c r="AT641" s="533"/>
      <c r="AU641" s="533"/>
      <c r="AV641" s="533"/>
      <c r="AW641" s="533"/>
      <c r="AX641" s="533"/>
      <c r="AY641" s="533"/>
      <c r="AZ641" s="533"/>
      <c r="BA641" s="570" t="s">
        <v>177</v>
      </c>
      <c r="BB641" s="571"/>
      <c r="BC641" s="572" t="s">
        <v>182</v>
      </c>
      <c r="BD641" s="571"/>
      <c r="BE641" s="572" t="s">
        <v>178</v>
      </c>
      <c r="BF641" s="561"/>
      <c r="BG641" s="570"/>
      <c r="BH641" s="571"/>
      <c r="BI641" s="630"/>
      <c r="BJ641" s="630"/>
      <c r="BK641" s="630"/>
      <c r="BL641" s="630"/>
      <c r="BM641" s="630"/>
      <c r="BN641" s="630"/>
      <c r="BO641" s="473"/>
      <c r="BP641" s="572"/>
      <c r="BQ641" s="533"/>
      <c r="BR641" s="624"/>
      <c r="BS641" s="624"/>
      <c r="BT641" s="624"/>
      <c r="BU641" s="624"/>
      <c r="BV641" s="624"/>
      <c r="BW641" s="500"/>
    </row>
    <row r="642" spans="44:90" x14ac:dyDescent="0.3">
      <c r="AR642" s="500"/>
      <c r="AS642" s="533"/>
      <c r="AT642" s="533"/>
      <c r="AU642" s="533"/>
      <c r="AV642" s="533"/>
      <c r="AW642" s="533"/>
      <c r="AX642" s="533"/>
      <c r="AY642" s="533"/>
      <c r="AZ642" s="533"/>
      <c r="BA642" s="568" t="s">
        <v>173</v>
      </c>
      <c r="BB642" s="566"/>
      <c r="BC642" s="568" t="s">
        <v>175</v>
      </c>
      <c r="BD642" s="566"/>
      <c r="BE642" s="568" t="s">
        <v>174</v>
      </c>
      <c r="BF642" s="561"/>
      <c r="BG642" s="567" t="s">
        <v>180</v>
      </c>
      <c r="BH642" s="561"/>
      <c r="BI642" s="612" t="s">
        <v>184</v>
      </c>
      <c r="BJ642" s="612"/>
      <c r="BK642" s="612"/>
      <c r="BL642" s="612"/>
      <c r="BM642" s="612"/>
      <c r="BN642" s="612"/>
      <c r="BO642" s="561"/>
      <c r="BP642" s="568" t="s">
        <v>181</v>
      </c>
      <c r="BQ642" s="533"/>
      <c r="BR642" s="625" t="s">
        <v>179</v>
      </c>
      <c r="BS642" s="625"/>
      <c r="BT642" s="625"/>
      <c r="BU642" s="625"/>
      <c r="BV642" s="625"/>
      <c r="BW642" s="500"/>
    </row>
    <row r="643" spans="44:90" x14ac:dyDescent="0.3">
      <c r="AR643" s="500"/>
      <c r="AS643" s="533"/>
      <c r="AT643" s="626" t="s">
        <v>162</v>
      </c>
      <c r="AU643" s="626"/>
      <c r="AV643" s="626"/>
      <c r="AW643" s="626"/>
      <c r="AX643" s="626"/>
      <c r="AY643" s="561"/>
      <c r="AZ643" s="561"/>
      <c r="BA643" s="562">
        <f>+BA621</f>
        <v>6826001</v>
      </c>
      <c r="BB643" s="561"/>
      <c r="BC643" s="562">
        <f>+BE643-BA643</f>
        <v>61434009</v>
      </c>
      <c r="BD643" s="561"/>
      <c r="BE643" s="562">
        <f>+BE621</f>
        <v>68260010</v>
      </c>
      <c r="BF643" s="533"/>
      <c r="BG643" s="563">
        <v>0</v>
      </c>
      <c r="BH643" s="563"/>
      <c r="BI643" s="563"/>
      <c r="BJ643" s="563"/>
      <c r="BK643" s="563"/>
      <c r="BL643" s="563"/>
      <c r="BM643" s="563"/>
      <c r="BN643" s="563">
        <f>+BG643</f>
        <v>0</v>
      </c>
      <c r="BO643" s="563"/>
      <c r="BP643" s="563">
        <f>+BN643*0.5</f>
        <v>0</v>
      </c>
      <c r="BQ643" s="561"/>
      <c r="BR643" s="579">
        <f t="shared" ref="BR643:BR648" si="2662">+BE643+BP643</f>
        <v>68260010</v>
      </c>
      <c r="BS643" s="628"/>
      <c r="BT643" s="628"/>
      <c r="BU643" s="628"/>
      <c r="BV643" s="628"/>
      <c r="BW643" s="500"/>
      <c r="CA643" s="56">
        <f>+BR643</f>
        <v>68260010</v>
      </c>
    </row>
    <row r="644" spans="44:90" x14ac:dyDescent="0.3">
      <c r="AR644" s="500"/>
      <c r="AS644" s="533"/>
      <c r="AT644" s="626" t="s">
        <v>171</v>
      </c>
      <c r="AU644" s="626"/>
      <c r="AV644" s="626"/>
      <c r="AW644" s="626"/>
      <c r="AX644" s="626"/>
      <c r="AY644" s="561"/>
      <c r="AZ644" s="561"/>
      <c r="BA644" s="562">
        <f>+BA643+BA622</f>
        <v>9935229</v>
      </c>
      <c r="BB644" s="561"/>
      <c r="BC644" s="562">
        <f>+BE644-BA644</f>
        <v>73870921</v>
      </c>
      <c r="BD644" s="561"/>
      <c r="BE644" s="562">
        <f>+BE643+BE622</f>
        <v>83806150</v>
      </c>
      <c r="BF644" s="533"/>
      <c r="BG644" s="563">
        <v>0</v>
      </c>
      <c r="BH644" s="563"/>
      <c r="BI644" s="563"/>
      <c r="BJ644" s="563"/>
      <c r="BK644" s="563"/>
      <c r="BL644" s="563"/>
      <c r="BM644" s="563"/>
      <c r="BN644" s="563">
        <f>+BN643+BG644</f>
        <v>0</v>
      </c>
      <c r="BO644" s="563"/>
      <c r="BP644" s="563">
        <f>+BN644*0.5</f>
        <v>0</v>
      </c>
      <c r="BQ644" s="561"/>
      <c r="BR644" s="579">
        <f t="shared" si="2662"/>
        <v>83806150</v>
      </c>
      <c r="BS644" s="628"/>
      <c r="BT644" s="628"/>
      <c r="BU644" s="628"/>
      <c r="BV644" s="628"/>
      <c r="BW644" s="500"/>
    </row>
    <row r="645" spans="44:90" x14ac:dyDescent="0.3">
      <c r="AR645" s="500"/>
      <c r="AS645" s="533"/>
      <c r="AT645" s="626" t="s">
        <v>163</v>
      </c>
      <c r="AU645" s="626"/>
      <c r="AV645" s="626"/>
      <c r="AW645" s="626"/>
      <c r="AX645" s="626"/>
      <c r="AY645" s="626"/>
      <c r="AZ645" s="626"/>
      <c r="BA645" s="562">
        <f>+BA644+BA623</f>
        <v>26719787</v>
      </c>
      <c r="BB645" s="561"/>
      <c r="BC645" s="562">
        <f>(+BE645-BA645)*(1-0.2)</f>
        <v>59096736.800000004</v>
      </c>
      <c r="BD645" s="561"/>
      <c r="BE645" s="562">
        <f>+BE644+BE623</f>
        <v>100590708</v>
      </c>
      <c r="BF645" s="533"/>
      <c r="BG645" s="563">
        <f>13400000+5660000</f>
        <v>19060000</v>
      </c>
      <c r="BH645" s="563"/>
      <c r="BI645" s="578"/>
      <c r="BJ645" s="578"/>
      <c r="BK645" s="578"/>
      <c r="BL645" s="578"/>
      <c r="BM645" s="578"/>
      <c r="BN645" s="578"/>
      <c r="BO645" s="563"/>
      <c r="BP645" s="563">
        <f>+BG645</f>
        <v>19060000</v>
      </c>
      <c r="BQ645" s="561"/>
      <c r="BR645" s="579">
        <f t="shared" si="2662"/>
        <v>119650708</v>
      </c>
      <c r="BS645" s="628"/>
      <c r="BT645" s="628"/>
      <c r="BU645" s="628"/>
      <c r="BV645" s="628"/>
      <c r="BW645" s="500"/>
    </row>
    <row r="646" spans="44:90" x14ac:dyDescent="0.3">
      <c r="AR646" s="500"/>
      <c r="AS646" s="533"/>
      <c r="AT646" s="569" t="s">
        <v>183</v>
      </c>
      <c r="AU646" s="561"/>
      <c r="AV646" s="561"/>
      <c r="AW646" s="561"/>
      <c r="AX646" s="561"/>
      <c r="AY646" s="561"/>
      <c r="AZ646" s="561"/>
      <c r="BA646" s="562">
        <f>+BA645+BA624</f>
        <v>30917716</v>
      </c>
      <c r="BB646" s="561"/>
      <c r="BC646" s="562">
        <f>(+BE646-BA646)*(1-0.34)</f>
        <v>48754807.859999992</v>
      </c>
      <c r="BD646" s="561"/>
      <c r="BE646" s="562">
        <f>+BE645+BE624</f>
        <v>104788637</v>
      </c>
      <c r="BF646" s="533"/>
      <c r="BG646" s="563">
        <f>53420000-BG645</f>
        <v>34360000</v>
      </c>
      <c r="BH646" s="563"/>
      <c r="BI646" s="578"/>
      <c r="BJ646" s="578"/>
      <c r="BK646" s="578"/>
      <c r="BL646" s="578"/>
      <c r="BM646" s="578"/>
      <c r="BN646" s="578"/>
      <c r="BO646" s="563"/>
      <c r="BP646" s="563">
        <f>+BP645+BG646</f>
        <v>53420000</v>
      </c>
      <c r="BQ646" s="561"/>
      <c r="BR646" s="579">
        <f t="shared" si="2662"/>
        <v>158208637</v>
      </c>
      <c r="BS646" s="628"/>
      <c r="BT646" s="628"/>
      <c r="BU646" s="628"/>
      <c r="BV646" s="628"/>
      <c r="BW646" s="500"/>
    </row>
    <row r="647" spans="44:90" x14ac:dyDescent="0.3">
      <c r="AR647" s="500"/>
      <c r="AS647" s="533"/>
      <c r="AT647" s="569" t="s">
        <v>188</v>
      </c>
      <c r="AU647" s="561"/>
      <c r="AV647" s="561"/>
      <c r="AW647" s="561"/>
      <c r="AX647" s="561"/>
      <c r="AY647" s="561"/>
      <c r="AZ647" s="561"/>
      <c r="BA647" s="562">
        <v>17702720</v>
      </c>
      <c r="BB647" s="561"/>
      <c r="BC647" s="562">
        <v>36659557</v>
      </c>
      <c r="BD647" s="561"/>
      <c r="BE647" s="562">
        <f>+BA647+BC647</f>
        <v>54362277</v>
      </c>
      <c r="BF647" s="533"/>
      <c r="BG647" s="563">
        <f>164760000-BP646</f>
        <v>111340000</v>
      </c>
      <c r="BH647" s="563"/>
      <c r="BI647" s="578"/>
      <c r="BJ647" s="578"/>
      <c r="BK647" s="578"/>
      <c r="BL647" s="578"/>
      <c r="BM647" s="578"/>
      <c r="BN647" s="578"/>
      <c r="BO647" s="563"/>
      <c r="BP647" s="563">
        <f>+BP646+BG647</f>
        <v>164760000</v>
      </c>
      <c r="BQ647" s="561"/>
      <c r="BR647" s="579">
        <f t="shared" si="2662"/>
        <v>219122277</v>
      </c>
      <c r="BS647" s="628"/>
      <c r="BT647" s="628"/>
      <c r="BU647" s="628"/>
      <c r="BV647" s="628"/>
      <c r="BW647" s="500"/>
      <c r="CL647" s="1">
        <v>333000000</v>
      </c>
    </row>
    <row r="648" spans="44:90" x14ac:dyDescent="0.3">
      <c r="AR648" s="500"/>
      <c r="AS648" s="533"/>
      <c r="AT648" s="569" t="s">
        <v>189</v>
      </c>
      <c r="AU648" s="561"/>
      <c r="AV648" s="561"/>
      <c r="AW648" s="561"/>
      <c r="AX648" s="561"/>
      <c r="AY648" s="561"/>
      <c r="AZ648" s="561"/>
      <c r="BA648" s="562">
        <f>+BA630</f>
        <v>17781570.561621621</v>
      </c>
      <c r="BB648" s="561"/>
      <c r="BC648" s="562">
        <f>+BC644*BY648</f>
        <v>37893785.96162162</v>
      </c>
      <c r="BD648" s="561"/>
      <c r="BE648" s="562">
        <f>+BA648+BC648</f>
        <v>55675356.523243241</v>
      </c>
      <c r="BF648" s="533"/>
      <c r="BG648" s="563">
        <f>170820000-BP647</f>
        <v>6060000</v>
      </c>
      <c r="BH648" s="563"/>
      <c r="BI648" s="578"/>
      <c r="BJ648" s="578"/>
      <c r="BK648" s="578"/>
      <c r="BL648" s="578"/>
      <c r="BM648" s="578"/>
      <c r="BN648" s="578"/>
      <c r="BO648" s="563"/>
      <c r="BP648" s="563">
        <f>+BP647+BG648</f>
        <v>170820000</v>
      </c>
      <c r="BQ648" s="561"/>
      <c r="BR648" s="579">
        <f t="shared" si="2662"/>
        <v>226495356.52324325</v>
      </c>
      <c r="BS648" s="579"/>
      <c r="BT648" s="579"/>
      <c r="BU648" s="579"/>
      <c r="BV648" s="579"/>
      <c r="BW648" s="500"/>
      <c r="BY648" s="59">
        <f>+BP648/CL647</f>
        <v>0.51297297297297295</v>
      </c>
      <c r="CL648" s="1"/>
    </row>
    <row r="649" spans="44:90" x14ac:dyDescent="0.3">
      <c r="AR649" s="500"/>
      <c r="AS649" s="500"/>
      <c r="AT649" s="500"/>
      <c r="AU649" s="500"/>
      <c r="AV649" s="500"/>
      <c r="AW649" s="500"/>
      <c r="AX649" s="500"/>
      <c r="AY649" s="500"/>
      <c r="AZ649" s="500"/>
      <c r="BA649" s="500"/>
      <c r="BB649" s="500"/>
      <c r="BC649" s="500"/>
      <c r="BD649" s="500"/>
      <c r="BE649" s="500"/>
      <c r="BF649" s="500"/>
      <c r="BG649" s="500"/>
      <c r="BH649" s="500"/>
      <c r="BI649" s="500"/>
      <c r="BJ649" s="500"/>
      <c r="BK649" s="500"/>
      <c r="BL649" s="500"/>
      <c r="BM649" s="500"/>
      <c r="BN649" s="500"/>
      <c r="BO649" s="500"/>
      <c r="BP649" s="500"/>
      <c r="BQ649" s="500"/>
      <c r="BR649" s="500"/>
      <c r="BS649" s="500"/>
      <c r="BT649" s="500"/>
      <c r="BU649" s="500"/>
      <c r="BV649" s="500"/>
      <c r="BW649" s="500"/>
      <c r="CL649" s="59">
        <f>+BR647/CL647</f>
        <v>0.65802485585585591</v>
      </c>
    </row>
    <row r="651" spans="44:90" x14ac:dyDescent="0.3">
      <c r="BA651" s="56">
        <f>+BR647+BA629</f>
        <v>237851145.43837839</v>
      </c>
      <c r="BC651" s="59">
        <f>+BA651/CL647</f>
        <v>0.71426770401915429</v>
      </c>
      <c r="BE651" s="56"/>
      <c r="BP651" s="1">
        <f>+(BP648-BP647)/2</f>
        <v>3030000</v>
      </c>
      <c r="CL651" s="56">
        <f>+CL647-BR647</f>
        <v>113877723</v>
      </c>
    </row>
    <row r="652" spans="44:90" x14ac:dyDescent="0.3">
      <c r="BP652" s="56">
        <v>1800000</v>
      </c>
    </row>
    <row r="653" spans="44:90" ht="15" thickBot="1" x14ac:dyDescent="0.35">
      <c r="BP653" s="726">
        <f>+BP651-BP652</f>
        <v>1230000</v>
      </c>
    </row>
    <row r="654" spans="44:90" ht="15" thickTop="1" x14ac:dyDescent="0.3">
      <c r="CL654" s="59">
        <f>+BP647/CL647</f>
        <v>0.49477477477477477</v>
      </c>
    </row>
    <row r="656" spans="44:90" x14ac:dyDescent="0.3">
      <c r="BE656" s="500"/>
      <c r="BF656" s="500"/>
      <c r="BG656" s="500"/>
      <c r="BH656" s="500"/>
      <c r="BI656" s="500"/>
      <c r="BJ656" s="500"/>
      <c r="BK656" s="500"/>
      <c r="BL656" s="500"/>
      <c r="BM656" s="500"/>
      <c r="BN656" s="500"/>
      <c r="BO656" s="500"/>
      <c r="BP656" s="500"/>
      <c r="BQ656" s="500"/>
      <c r="BR656" s="500"/>
      <c r="BS656" s="500"/>
      <c r="BT656" s="500"/>
      <c r="BU656" s="500"/>
      <c r="BV656" s="500"/>
      <c r="BW656" s="500"/>
      <c r="BX656" s="500"/>
      <c r="BY656" s="500"/>
    </row>
    <row r="657" spans="42:90" x14ac:dyDescent="0.3">
      <c r="BE657" s="500"/>
      <c r="BF657" s="500"/>
      <c r="BG657" s="500"/>
      <c r="BH657" s="500"/>
      <c r="BI657" s="500"/>
      <c r="BJ657" s="500"/>
      <c r="BK657" s="500"/>
      <c r="BL657" s="500"/>
      <c r="BM657" s="500"/>
      <c r="BN657" s="500"/>
      <c r="BO657" s="500"/>
      <c r="BP657" s="500"/>
      <c r="BQ657" s="500"/>
      <c r="BR657" s="500"/>
      <c r="BS657" s="500"/>
      <c r="BT657" s="500"/>
      <c r="BU657" s="500"/>
      <c r="BV657" s="500"/>
      <c r="BW657" s="500"/>
      <c r="BX657" s="500"/>
      <c r="BY657" s="500"/>
    </row>
    <row r="658" spans="42:90" x14ac:dyDescent="0.3">
      <c r="AP658" s="1">
        <v>1500000</v>
      </c>
      <c r="BE658" s="500"/>
      <c r="BF658" s="500"/>
      <c r="BG658" s="500"/>
      <c r="BH658" s="500"/>
      <c r="BI658" s="500"/>
      <c r="BJ658" s="500"/>
      <c r="BK658" s="500"/>
      <c r="BL658" s="500"/>
      <c r="BM658" s="500"/>
      <c r="BN658" s="500"/>
      <c r="BO658" s="500"/>
      <c r="BP658" s="500"/>
      <c r="BQ658" s="500"/>
      <c r="BR658" s="500"/>
      <c r="BS658" s="500"/>
      <c r="BT658" s="500"/>
      <c r="BU658" s="500"/>
      <c r="BV658" s="500"/>
      <c r="BW658" s="500"/>
      <c r="BX658" s="500"/>
      <c r="BY658" s="500"/>
    </row>
    <row r="659" spans="42:90" x14ac:dyDescent="0.3">
      <c r="AP659">
        <v>7</v>
      </c>
      <c r="BE659" s="500"/>
      <c r="BY659" s="500"/>
      <c r="CL659">
        <v>177090000</v>
      </c>
    </row>
    <row r="660" spans="42:90" x14ac:dyDescent="0.3">
      <c r="AP660" s="1">
        <f>+AP658*AP659</f>
        <v>10500000</v>
      </c>
      <c r="BE660" s="500"/>
      <c r="BY660" s="500"/>
      <c r="CL660" s="231">
        <f>+CL659/CL647</f>
        <v>0.53180180180180181</v>
      </c>
    </row>
    <row r="661" spans="42:90" x14ac:dyDescent="0.3">
      <c r="BE661" s="500"/>
      <c r="BY661" s="500"/>
    </row>
    <row r="662" spans="42:90" x14ac:dyDescent="0.3">
      <c r="BE662" s="500"/>
      <c r="BY662" s="500"/>
    </row>
    <row r="663" spans="42:90" x14ac:dyDescent="0.3">
      <c r="BE663" s="500"/>
      <c r="BY663" s="500"/>
      <c r="CL663" s="56">
        <f>+BR647+27420000</f>
        <v>246542277</v>
      </c>
    </row>
    <row r="664" spans="42:90" x14ac:dyDescent="0.3">
      <c r="BE664" s="500"/>
      <c r="BY664" s="500"/>
    </row>
    <row r="665" spans="42:90" x14ac:dyDescent="0.3">
      <c r="BE665" s="500"/>
      <c r="BY665" s="500"/>
      <c r="CL665" s="59">
        <f>+CL663/CL647</f>
        <v>0.74036719819819818</v>
      </c>
    </row>
    <row r="666" spans="42:90" x14ac:dyDescent="0.3">
      <c r="BE666" s="500"/>
      <c r="BY666" s="500"/>
    </row>
    <row r="667" spans="42:90" x14ac:dyDescent="0.3">
      <c r="BE667" s="500"/>
      <c r="BY667" s="500"/>
    </row>
    <row r="668" spans="42:90" x14ac:dyDescent="0.3">
      <c r="BE668" s="500"/>
      <c r="BY668" s="500"/>
    </row>
    <row r="669" spans="42:90" x14ac:dyDescent="0.3">
      <c r="BE669" s="500"/>
      <c r="BY669" s="500"/>
    </row>
    <row r="670" spans="42:90" x14ac:dyDescent="0.3">
      <c r="BE670" s="500"/>
      <c r="BY670" s="500"/>
    </row>
    <row r="671" spans="42:90" x14ac:dyDescent="0.3">
      <c r="BE671" s="500"/>
      <c r="BY671" s="500"/>
    </row>
    <row r="672" spans="42:90" x14ac:dyDescent="0.3">
      <c r="BE672" s="500"/>
      <c r="BF672" s="500"/>
      <c r="BG672" s="500"/>
      <c r="BH672" s="500"/>
      <c r="BI672" s="500"/>
      <c r="BJ672" s="500"/>
      <c r="BK672" s="500"/>
      <c r="BL672" s="500"/>
      <c r="BM672" s="500"/>
      <c r="BN672" s="500"/>
      <c r="BO672" s="500"/>
      <c r="BP672" s="500"/>
      <c r="BQ672" s="500"/>
      <c r="BR672" s="500"/>
      <c r="BS672" s="500"/>
      <c r="BT672" s="500"/>
      <c r="BU672" s="500"/>
      <c r="BV672" s="500"/>
      <c r="BW672" s="500"/>
      <c r="BX672" s="500"/>
      <c r="BY672" s="500"/>
    </row>
    <row r="673" spans="57:77" x14ac:dyDescent="0.3">
      <c r="BE673" s="500"/>
      <c r="BF673" s="500"/>
      <c r="BG673" s="500"/>
      <c r="BH673" s="500"/>
      <c r="BI673" s="500"/>
      <c r="BJ673" s="500"/>
      <c r="BK673" s="500"/>
      <c r="BL673" s="500"/>
      <c r="BM673" s="500"/>
      <c r="BN673" s="500"/>
      <c r="BO673" s="500"/>
      <c r="BP673" s="500"/>
      <c r="BQ673" s="500"/>
      <c r="BR673" s="500"/>
      <c r="BS673" s="500"/>
      <c r="BT673" s="500"/>
      <c r="BU673" s="500"/>
      <c r="BV673" s="500"/>
      <c r="BW673" s="500"/>
      <c r="BX673" s="500"/>
      <c r="BY673" s="500"/>
    </row>
    <row r="674" spans="57:77" x14ac:dyDescent="0.3">
      <c r="BE674" s="500"/>
      <c r="BF674" s="500"/>
      <c r="BG674" s="500"/>
      <c r="BH674" s="500"/>
      <c r="BI674" s="500"/>
      <c r="BJ674" s="500"/>
      <c r="BK674" s="500"/>
      <c r="BL674" s="500"/>
      <c r="BM674" s="500"/>
      <c r="BN674" s="500"/>
      <c r="BO674" s="500"/>
      <c r="BP674" s="500"/>
      <c r="BQ674" s="500"/>
      <c r="BR674" s="500"/>
      <c r="BS674" s="500"/>
      <c r="BT674" s="500"/>
      <c r="BU674" s="500"/>
      <c r="BV674" s="500"/>
      <c r="BW674" s="500"/>
      <c r="BX674" s="500"/>
      <c r="BY674" s="500"/>
    </row>
    <row r="675" spans="57:77" x14ac:dyDescent="0.3">
      <c r="BE675" s="500"/>
      <c r="BF675" s="500"/>
      <c r="BG675" s="500"/>
      <c r="BH675" s="500"/>
      <c r="BI675" s="500"/>
      <c r="BJ675" s="500"/>
      <c r="BK675" s="500"/>
      <c r="BL675" s="500"/>
      <c r="BM675" s="500"/>
      <c r="BN675" s="500"/>
      <c r="BO675" s="500"/>
      <c r="BP675" s="500"/>
      <c r="BQ675" s="500"/>
      <c r="BR675" s="500"/>
      <c r="BS675" s="500"/>
      <c r="BT675" s="500"/>
      <c r="BU675" s="500"/>
      <c r="BV675" s="500"/>
      <c r="BW675" s="500"/>
      <c r="BX675" s="500"/>
      <c r="BY675" s="500"/>
    </row>
    <row r="676" spans="57:77" x14ac:dyDescent="0.3">
      <c r="BE676" s="500"/>
      <c r="BF676" s="500"/>
      <c r="BG676" s="500"/>
      <c r="BH676" s="500"/>
      <c r="BI676" s="500"/>
      <c r="BJ676" s="500"/>
      <c r="BK676" s="500"/>
      <c r="BL676" s="500"/>
      <c r="BM676" s="500"/>
      <c r="BN676" s="500"/>
      <c r="BO676" s="500"/>
      <c r="BP676" s="500"/>
      <c r="BQ676" s="500"/>
      <c r="BR676" s="500"/>
      <c r="BS676" s="500"/>
      <c r="BT676" s="500"/>
      <c r="BU676" s="500"/>
      <c r="BV676" s="500"/>
      <c r="BW676" s="500"/>
      <c r="BX676" s="500"/>
      <c r="BY676" s="500"/>
    </row>
    <row r="677" spans="57:77" x14ac:dyDescent="0.3">
      <c r="BE677" s="500"/>
      <c r="BF677" s="500"/>
      <c r="BG677" s="500"/>
      <c r="BH677" s="500"/>
      <c r="BI677" s="500"/>
      <c r="BJ677" s="500"/>
      <c r="BK677" s="500"/>
      <c r="BL677" s="500"/>
      <c r="BM677" s="500"/>
      <c r="BN677" s="500"/>
      <c r="BO677" s="500"/>
      <c r="BP677" s="500"/>
      <c r="BQ677" s="500"/>
      <c r="BR677" s="500"/>
      <c r="BS677" s="500"/>
      <c r="BT677" s="500"/>
      <c r="BU677" s="500"/>
      <c r="BV677" s="500"/>
      <c r="BW677" s="500"/>
      <c r="BX677" s="500"/>
      <c r="BY677" s="500"/>
    </row>
    <row r="678" spans="57:77" x14ac:dyDescent="0.3">
      <c r="BE678" s="500"/>
      <c r="BF678" s="500"/>
      <c r="BG678" s="500"/>
      <c r="BH678" s="500"/>
      <c r="BI678" s="500"/>
      <c r="BJ678" s="500"/>
      <c r="BK678" s="500"/>
      <c r="BL678" s="500"/>
      <c r="BM678" s="500"/>
      <c r="BN678" s="500"/>
      <c r="BO678" s="500"/>
      <c r="BP678" s="500"/>
      <c r="BQ678" s="500"/>
      <c r="BR678" s="500"/>
      <c r="BS678" s="500"/>
      <c r="BT678" s="500"/>
      <c r="BU678" s="500"/>
      <c r="BV678" s="500"/>
      <c r="BW678" s="500"/>
      <c r="BX678" s="500"/>
      <c r="BY678" s="500"/>
    </row>
    <row r="679" spans="57:77" x14ac:dyDescent="0.3">
      <c r="BE679" s="500"/>
      <c r="BF679" s="500"/>
      <c r="BG679" s="500"/>
      <c r="BH679" s="500"/>
      <c r="BI679" s="500"/>
      <c r="BJ679" s="500"/>
      <c r="BK679" s="500"/>
      <c r="BL679" s="500"/>
      <c r="BM679" s="500"/>
      <c r="BN679" s="500"/>
      <c r="BO679" s="500"/>
      <c r="BP679" s="500"/>
      <c r="BQ679" s="500"/>
      <c r="BR679" s="500"/>
      <c r="BS679" s="500"/>
      <c r="BT679" s="500"/>
      <c r="BU679" s="500"/>
      <c r="BV679" s="500"/>
      <c r="BW679" s="500"/>
      <c r="BX679" s="500"/>
      <c r="BY679" s="500"/>
    </row>
  </sheetData>
  <mergeCells count="60">
    <mergeCell ref="AT643:AX643"/>
    <mergeCell ref="AT644:AX644"/>
    <mergeCell ref="AT645:AZ645"/>
    <mergeCell ref="BA640:BE640"/>
    <mergeCell ref="BG640:BP640"/>
    <mergeCell ref="BI642:BN642"/>
    <mergeCell ref="BI645:BN645"/>
    <mergeCell ref="BI641:BN641"/>
    <mergeCell ref="BR643:BV643"/>
    <mergeCell ref="BR644:BV644"/>
    <mergeCell ref="BR645:BV645"/>
    <mergeCell ref="BR647:BV647"/>
    <mergeCell ref="BI646:BN646"/>
    <mergeCell ref="BR646:BV64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548:AN548"/>
    <mergeCell ref="AK558:AN558"/>
    <mergeCell ref="AV607:AX607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547:AV547"/>
    <mergeCell ref="AK549:AN549"/>
    <mergeCell ref="AK550:AN550"/>
    <mergeCell ref="AK551:AN551"/>
    <mergeCell ref="AK552:AN552"/>
    <mergeCell ref="AS618:BH618"/>
    <mergeCell ref="H580:J580"/>
    <mergeCell ref="AK557:AN557"/>
    <mergeCell ref="BI648:BN648"/>
    <mergeCell ref="BR648:BV648"/>
    <mergeCell ref="AV612:AY612"/>
    <mergeCell ref="BE619:BE620"/>
    <mergeCell ref="AV595:AX595"/>
    <mergeCell ref="BR640:BV641"/>
    <mergeCell ref="BR642:BV642"/>
    <mergeCell ref="AT622:AX622"/>
    <mergeCell ref="AT626:AZ626"/>
    <mergeCell ref="AT620:AY620"/>
    <mergeCell ref="AT623:AZ623"/>
    <mergeCell ref="AT639:BV639"/>
    <mergeCell ref="BG619:BG620"/>
    <mergeCell ref="AT621:AX621"/>
    <mergeCell ref="BP633:BT633"/>
    <mergeCell ref="BI647:BN647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553:AP555 AR553:AR55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47"/>
  <sheetViews>
    <sheetView topLeftCell="A497" workbookViewId="0">
      <selection activeCell="AJ19" sqref="AJ19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+K535</f>
        <v>3677801</v>
      </c>
      <c r="AG16" s="187"/>
      <c r="AH16" s="201">
        <f>+AJ31</f>
        <v>11423.71559792796</v>
      </c>
      <c r="AI16" s="201"/>
      <c r="AJ16" s="202">
        <f>+S535</f>
        <v>89118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743735</v>
      </c>
      <c r="AG17" s="188"/>
      <c r="AH17" s="149">
        <v>10790</v>
      </c>
      <c r="AI17" s="201"/>
      <c r="AJ17" s="148">
        <v>18174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1271753</v>
      </c>
      <c r="AG18" s="188"/>
      <c r="AH18" s="149">
        <v>9934</v>
      </c>
      <c r="AI18" s="201"/>
      <c r="AJ18" s="148">
        <v>28075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5693289</v>
      </c>
      <c r="AG19" s="188"/>
      <c r="AH19" s="188"/>
      <c r="AI19" s="188"/>
      <c r="AJ19" s="206">
        <f>SUM(AJ16:AJ18)</f>
        <v>135367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Table'!H534</f>
        <v>0.15195537665725176</v>
      </c>
      <c r="AG21" s="188"/>
      <c r="AH21" s="188"/>
      <c r="AI21" s="188"/>
      <c r="AJ21" s="208">
        <f>+AJ19/'Main Table'!AA534</f>
        <v>0.21656744904864678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+E535</f>
        <v>2237639</v>
      </c>
      <c r="AE27" s="155"/>
      <c r="AF27" s="186">
        <v>11502</v>
      </c>
      <c r="AG27" s="155"/>
      <c r="AH27" s="177">
        <f>+AD27/AD$31</f>
        <v>0.50607729983426575</v>
      </c>
      <c r="AI27" s="177"/>
      <c r="AJ27" s="155">
        <f>+AF27*AH27</f>
        <v>5820.9011026937251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+G535</f>
        <v>1074306</v>
      </c>
      <c r="AE28" s="155"/>
      <c r="AF28" s="186">
        <v>12095</v>
      </c>
      <c r="AG28" s="155"/>
      <c r="AH28" s="177">
        <f>+AD28/AD$31</f>
        <v>0.24297122086080494</v>
      </c>
      <c r="AI28" s="177"/>
      <c r="AJ28" s="155">
        <f>+AF28*AH28</f>
        <v>2938.7369163114358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+I535</f>
        <v>365856</v>
      </c>
      <c r="AE29" s="155"/>
      <c r="AF29" s="186">
        <v>10262</v>
      </c>
      <c r="AG29" s="155"/>
      <c r="AH29" s="177">
        <f>+AD29/AD$31</f>
        <v>8.2744096169295012E-2</v>
      </c>
      <c r="AI29" s="177"/>
      <c r="AJ29" s="155">
        <f>+AF29*AH29</f>
        <v>849.11991488930539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743735</v>
      </c>
      <c r="AE30" s="237"/>
      <c r="AF30" s="155">
        <f>+AH17</f>
        <v>10790</v>
      </c>
      <c r="AG30" s="237"/>
      <c r="AH30" s="177">
        <f>+AD30/AD$31</f>
        <v>0.16820738313563433</v>
      </c>
      <c r="AI30" s="237"/>
      <c r="AJ30" s="155">
        <f>+AF30*AH30</f>
        <v>1814.9576640334944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4421536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11423.71559792796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Table'!AA534</f>
        <v>625057</v>
      </c>
      <c r="AJ49" s="56">
        <f>+AJ19</f>
        <v>135367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135367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489690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205669.8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284020.2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0.45439087955178492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ref="K462" si="164">SUM(E462:I462)</f>
        <v>3477900</v>
      </c>
      <c r="L462" s="6"/>
      <c r="M462" s="438">
        <f t="shared" ref="M462" si="165">+(K462-K461)/K461</f>
        <v>1.9383267006516114E-4</v>
      </c>
      <c r="N462" s="29"/>
      <c r="O462" s="29"/>
      <c r="P462" s="29"/>
      <c r="Q462" s="332">
        <f t="shared" ref="Q462" si="166">+K462-K461</f>
        <v>674</v>
      </c>
      <c r="R462" s="6"/>
      <c r="S462" s="7">
        <f>53549+26330+8261</f>
        <v>88140</v>
      </c>
      <c r="T462" s="6"/>
      <c r="U462" s="243">
        <f t="shared" ref="U462" si="167">+S462/K462</f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ref="K463" si="168">SUM(E463:I463)</f>
        <v>3478645</v>
      </c>
      <c r="L463" s="6"/>
      <c r="M463" s="438">
        <f t="shared" ref="M463" si="169">+(K463-K462)/K462</f>
        <v>2.1420972425889186E-4</v>
      </c>
      <c r="N463" s="29"/>
      <c r="O463" s="29"/>
      <c r="P463" s="29"/>
      <c r="Q463" s="332">
        <f t="shared" ref="Q463" si="170">+K463-K462</f>
        <v>745</v>
      </c>
      <c r="R463" s="6"/>
      <c r="S463" s="7">
        <f>53574+26344+8263</f>
        <v>88181</v>
      </c>
      <c r="T463" s="6"/>
      <c r="U463" s="243">
        <f t="shared" ref="U463" si="171">+S463/K463</f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ref="K464" si="172">SUM(E464:I464)</f>
        <v>3479196</v>
      </c>
      <c r="L464" s="6"/>
      <c r="M464" s="438">
        <f t="shared" ref="M464" si="173">+(K464-K463)/K463</f>
        <v>1.5839500725138667E-4</v>
      </c>
      <c r="N464" s="29"/>
      <c r="O464" s="29"/>
      <c r="P464" s="29"/>
      <c r="Q464" s="332">
        <f t="shared" ref="Q464" si="174">+K464-K463</f>
        <v>551</v>
      </c>
      <c r="R464" s="6"/>
      <c r="S464" s="7">
        <f>53576+26357+8265</f>
        <v>88198</v>
      </c>
      <c r="T464" s="6"/>
      <c r="U464" s="243">
        <f t="shared" ref="U464" si="175">+S464/K464</f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ref="K465:K466" si="176">SUM(E465:I465)</f>
        <v>3479800</v>
      </c>
      <c r="L465" s="6"/>
      <c r="M465" s="438">
        <f t="shared" ref="M465:M466" si="177">+(K465-K464)/K464</f>
        <v>1.7360332674560443E-4</v>
      </c>
      <c r="N465" s="29"/>
      <c r="O465" s="29"/>
      <c r="P465" s="29"/>
      <c r="Q465" s="332">
        <f t="shared" ref="Q465:Q466" si="178">+K465-K464</f>
        <v>604</v>
      </c>
      <c r="R465" s="6"/>
      <c r="S465" s="7">
        <f>53576+26357+8265</f>
        <v>88198</v>
      </c>
      <c r="T465" s="6"/>
      <c r="U465" s="243">
        <f t="shared" ref="U465:U466" si="179">+S465/K465</f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176"/>
        <v>3480657</v>
      </c>
      <c r="L466" s="6"/>
      <c r="M466" s="438">
        <f t="shared" si="177"/>
        <v>2.4627852175412379E-4</v>
      </c>
      <c r="N466" s="29"/>
      <c r="O466" s="29"/>
      <c r="P466" s="29"/>
      <c r="Q466" s="332">
        <f t="shared" si="178"/>
        <v>857</v>
      </c>
      <c r="R466" s="6"/>
      <c r="S466" s="7">
        <f>53597+26368+8270</f>
        <v>88235</v>
      </c>
      <c r="T466" s="6"/>
      <c r="U466" s="243">
        <f t="shared" si="179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ref="K467" si="180">SUM(E467:I467)</f>
        <v>3481265</v>
      </c>
      <c r="L467" s="6"/>
      <c r="M467" s="438">
        <f t="shared" ref="M467" si="181">+(K467-K466)/K466</f>
        <v>1.7467966536202791E-4</v>
      </c>
      <c r="N467" s="29"/>
      <c r="O467" s="29"/>
      <c r="P467" s="29"/>
      <c r="Q467" s="332">
        <f t="shared" ref="Q467" si="182">+K467-K466</f>
        <v>608</v>
      </c>
      <c r="R467" s="6"/>
      <c r="S467" s="7">
        <f>53606+26374+8270</f>
        <v>88250</v>
      </c>
      <c r="T467" s="6"/>
      <c r="U467" s="243">
        <f t="shared" ref="U467" si="183">+S467/K467</f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ref="K468" si="184">SUM(E468:I468)</f>
        <v>3481692</v>
      </c>
      <c r="L468" s="6"/>
      <c r="M468" s="438">
        <f t="shared" ref="M468" si="185">+(K468-K467)/K467</f>
        <v>1.2265656305969239E-4</v>
      </c>
      <c r="N468" s="29"/>
      <c r="O468" s="29"/>
      <c r="P468" s="29"/>
      <c r="Q468" s="332">
        <f t="shared" ref="Q468" si="186">+K468-K467</f>
        <v>427</v>
      </c>
      <c r="R468" s="6"/>
      <c r="S468" s="7">
        <f>53606+26374+8270</f>
        <v>88250</v>
      </c>
      <c r="T468" s="6"/>
      <c r="U468" s="243">
        <f t="shared" ref="U468" si="187">+S468/K468</f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ref="K469" si="188">SUM(E469:I469)</f>
        <v>3482000</v>
      </c>
      <c r="L469" s="6"/>
      <c r="M469" s="438">
        <f t="shared" ref="M469" si="189">+(K469-K468)/K468</f>
        <v>8.8462735934137775E-5</v>
      </c>
      <c r="N469" s="29"/>
      <c r="O469" s="29"/>
      <c r="P469" s="29"/>
      <c r="Q469" s="332">
        <f t="shared" ref="Q469" si="190">+K469-K468</f>
        <v>308</v>
      </c>
      <c r="R469" s="6"/>
      <c r="S469" s="7">
        <f>53632+26392+8271</f>
        <v>88295</v>
      </c>
      <c r="T469" s="6"/>
      <c r="U469" s="243">
        <f t="shared" ref="U469" si="191">+S469/K469</f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ref="K470:K472" si="192">SUM(E470:I470)</f>
        <v>3482350</v>
      </c>
      <c r="L470" s="6"/>
      <c r="M470" s="438">
        <f t="shared" ref="M470:M472" si="193">+(K470-K469)/K469</f>
        <v>1.0051694428489374E-4</v>
      </c>
      <c r="N470" s="29"/>
      <c r="O470" s="29"/>
      <c r="P470" s="29"/>
      <c r="Q470" s="332">
        <f t="shared" ref="Q470:Q472" si="194">+K470-K469</f>
        <v>350</v>
      </c>
      <c r="R470" s="6"/>
      <c r="S470" s="7">
        <f t="shared" ref="S470:S471" si="195">53632+26392+8271</f>
        <v>88295</v>
      </c>
      <c r="T470" s="6"/>
      <c r="U470" s="243">
        <f t="shared" ref="U470:U472" si="196">+S470/K470</f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192"/>
        <v>3482744</v>
      </c>
      <c r="L471" s="6"/>
      <c r="M471" s="438">
        <f t="shared" si="193"/>
        <v>1.1314198745100292E-4</v>
      </c>
      <c r="N471" s="29"/>
      <c r="O471" s="29"/>
      <c r="P471" s="29"/>
      <c r="Q471" s="332">
        <f t="shared" si="194"/>
        <v>394</v>
      </c>
      <c r="R471" s="6"/>
      <c r="S471" s="7">
        <f t="shared" si="195"/>
        <v>88295</v>
      </c>
      <c r="T471" s="6"/>
      <c r="U471" s="243">
        <f t="shared" si="196"/>
        <v>2.53521361317398E-2</v>
      </c>
      <c r="W471">
        <f t="shared" ref="W471" si="197"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192"/>
        <v>3484133</v>
      </c>
      <c r="L472" s="6"/>
      <c r="M472" s="438">
        <f t="shared" si="193"/>
        <v>3.9882345644698549E-4</v>
      </c>
      <c r="N472" s="29"/>
      <c r="O472" s="29"/>
      <c r="P472" s="29"/>
      <c r="Q472" s="332">
        <f t="shared" si="194"/>
        <v>1389</v>
      </c>
      <c r="R472" s="6"/>
      <c r="S472" s="7">
        <f>53635+26416+8274</f>
        <v>88325</v>
      </c>
      <c r="T472" s="6"/>
      <c r="U472" s="243">
        <f t="shared" si="196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" si="198">SUM(E473:I473)</f>
        <v>3485198</v>
      </c>
      <c r="L473" s="6"/>
      <c r="M473" s="438">
        <f t="shared" ref="M473" si="199">+(K473-K472)/K472</f>
        <v>3.0567145398869677E-4</v>
      </c>
      <c r="N473" s="29"/>
      <c r="O473" s="29"/>
      <c r="P473" s="29"/>
      <c r="Q473" s="332">
        <f t="shared" ref="Q473" si="200">+K473-K472</f>
        <v>1065</v>
      </c>
      <c r="R473" s="6"/>
      <c r="S473" s="7">
        <f>53646+26434+8275</f>
        <v>88355</v>
      </c>
      <c r="T473" s="6"/>
      <c r="U473" s="243">
        <f t="shared" ref="U473" si="201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ref="K474" si="202">SUM(E474:I474)</f>
        <v>3485670</v>
      </c>
      <c r="L474" s="6"/>
      <c r="M474" s="438">
        <f t="shared" ref="M474" si="203">+(K474-K473)/K473</f>
        <v>1.3542989523120352E-4</v>
      </c>
      <c r="N474" s="29"/>
      <c r="O474" s="29"/>
      <c r="P474" s="29"/>
      <c r="Q474" s="332">
        <f t="shared" ref="Q474" si="204">+K474-K473</f>
        <v>472</v>
      </c>
      <c r="R474" s="6"/>
      <c r="S474" s="7">
        <f>53664+26437+8275</f>
        <v>88376</v>
      </c>
      <c r="T474" s="6"/>
      <c r="U474" s="243">
        <f t="shared" ref="U474" si="205">+S474/K474</f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ref="K475" si="206">SUM(E475:I475)</f>
        <v>3486073</v>
      </c>
      <c r="L475" s="6"/>
      <c r="M475" s="438">
        <f t="shared" ref="M475" si="207">+(K475-K474)/K474</f>
        <v>1.1561622299299705E-4</v>
      </c>
      <c r="N475" s="29"/>
      <c r="O475" s="29"/>
      <c r="P475" s="29"/>
      <c r="Q475" s="332">
        <f t="shared" ref="Q475" si="208">+K475-K474</f>
        <v>403</v>
      </c>
      <c r="R475" s="6"/>
      <c r="S475" s="7">
        <f>53664+26437+8275</f>
        <v>88376</v>
      </c>
      <c r="T475" s="6"/>
      <c r="U475" s="243">
        <f t="shared" ref="U475" si="209">+S475/K475</f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ref="K476:K477" si="210">SUM(E476:I476)</f>
        <v>3486523</v>
      </c>
      <c r="L476" s="6"/>
      <c r="M476" s="438">
        <f t="shared" ref="M476:M477" si="211">+(K476-K475)/K475</f>
        <v>1.2908507653167331E-4</v>
      </c>
      <c r="N476" s="29"/>
      <c r="O476" s="29"/>
      <c r="P476" s="29"/>
      <c r="Q476" s="332">
        <f t="shared" ref="Q476:Q477" si="212">+K476-K475</f>
        <v>450</v>
      </c>
      <c r="R476" s="6"/>
      <c r="S476" s="7">
        <f t="shared" ref="S476" si="213">53664+26437+8275</f>
        <v>88376</v>
      </c>
      <c r="T476" s="6"/>
      <c r="U476" s="243">
        <f t="shared" ref="U476:U477" si="214">+S476/K476</f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210"/>
        <v>3487187</v>
      </c>
      <c r="L477" s="6"/>
      <c r="M477" s="438">
        <f t="shared" si="211"/>
        <v>1.9044761787029657E-4</v>
      </c>
      <c r="N477" s="29"/>
      <c r="O477" s="29"/>
      <c r="P477" s="29"/>
      <c r="Q477" s="332">
        <f t="shared" si="212"/>
        <v>664</v>
      </c>
      <c r="R477" s="6"/>
      <c r="S477" s="7">
        <f>53676+26444+8276</f>
        <v>88396</v>
      </c>
      <c r="T477" s="6"/>
      <c r="U477" s="243">
        <f t="shared" si="214"/>
        <v>2.534879832942713E-2</v>
      </c>
      <c r="W477">
        <f t="shared" ref="W477:W531" si="215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ref="K478" si="216">SUM(E478:I478)</f>
        <v>3487733</v>
      </c>
      <c r="L478" s="6"/>
      <c r="M478" s="438">
        <f t="shared" ref="M478" si="217">+(K478-K477)/K477</f>
        <v>1.5657319208863763E-4</v>
      </c>
      <c r="N478" s="29"/>
      <c r="O478" s="29"/>
      <c r="P478" s="29"/>
      <c r="Q478" s="332">
        <f t="shared" ref="Q478" si="218">+K478-K477</f>
        <v>546</v>
      </c>
      <c r="R478" s="6"/>
      <c r="S478" s="7">
        <f>53679+26457+8278</f>
        <v>88414</v>
      </c>
      <c r="T478" s="6"/>
      <c r="U478" s="243">
        <f t="shared" ref="U478" si="219">+S478/K478</f>
        <v>2.5349990954009381E-2</v>
      </c>
      <c r="W478">
        <f t="shared" si="215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ref="K479" si="220">SUM(E479:I479)</f>
        <v>3488377</v>
      </c>
      <c r="L479" s="6"/>
      <c r="M479" s="438">
        <f t="shared" ref="M479" si="221">+(K479-K478)/K478</f>
        <v>1.8464716192437896E-4</v>
      </c>
      <c r="N479" s="29"/>
      <c r="O479" s="29"/>
      <c r="P479" s="29"/>
      <c r="Q479" s="332">
        <f t="shared" ref="Q479" si="222">+K479-K478</f>
        <v>644</v>
      </c>
      <c r="R479" s="6"/>
      <c r="S479" s="7">
        <f>53690+26462+8279</f>
        <v>88431</v>
      </c>
      <c r="T479" s="6"/>
      <c r="U479" s="243">
        <f t="shared" ref="U479" si="223">+S479/K479</f>
        <v>2.5350184340740694E-2</v>
      </c>
      <c r="W479">
        <f t="shared" si="215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ref="K480" si="224">SUM(E480:I480)</f>
        <v>3489279</v>
      </c>
      <c r="L480" s="6"/>
      <c r="M480" s="438">
        <f t="shared" ref="M480" si="225">+(K480-K479)/K479</f>
        <v>2.5857296960735609E-4</v>
      </c>
      <c r="N480" s="29"/>
      <c r="O480" s="29"/>
      <c r="P480" s="29"/>
      <c r="Q480" s="332">
        <f t="shared" ref="Q480" si="226">+K480-K479</f>
        <v>902</v>
      </c>
      <c r="R480" s="6"/>
      <c r="S480" s="7">
        <f>53692+26467+8279</f>
        <v>88438</v>
      </c>
      <c r="T480" s="6"/>
      <c r="U480" s="243">
        <f t="shared" ref="U480" si="227">+S480/K480</f>
        <v>2.5345637307879365E-2</v>
      </c>
      <c r="W480">
        <f t="shared" si="215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ref="K481" si="228">SUM(E481:I481)</f>
        <v>3489755</v>
      </c>
      <c r="L481" s="6"/>
      <c r="M481" s="438">
        <f t="shared" ref="M481" si="229">+(K481-K480)/K480</f>
        <v>1.3641786741616248E-4</v>
      </c>
      <c r="N481" s="29"/>
      <c r="O481" s="29"/>
      <c r="P481" s="29"/>
      <c r="Q481" s="332">
        <f t="shared" ref="Q481" si="230">+K481-K480</f>
        <v>476</v>
      </c>
      <c r="R481" s="6"/>
      <c r="S481" s="7">
        <f>53692+26472+8279</f>
        <v>88443</v>
      </c>
      <c r="T481" s="6"/>
      <c r="U481" s="243">
        <f t="shared" ref="U481" si="231">+S481/K481</f>
        <v>2.5343612947040694E-2</v>
      </c>
      <c r="W481">
        <f t="shared" si="215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ref="K482" si="232">SUM(E482:I482)</f>
        <v>3490217</v>
      </c>
      <c r="L482" s="6"/>
      <c r="M482" s="438">
        <f t="shared" ref="M482" si="233">+(K482-K481)/K481</f>
        <v>1.3238751717527448E-4</v>
      </c>
      <c r="N482" s="29"/>
      <c r="O482" s="29"/>
      <c r="P482" s="29"/>
      <c r="Q482" s="332">
        <f t="shared" ref="Q482" si="234">+K482-K481</f>
        <v>462</v>
      </c>
      <c r="R482" s="6"/>
      <c r="S482" s="7">
        <f>53701+26473+8279</f>
        <v>88453</v>
      </c>
      <c r="T482" s="6"/>
      <c r="U482" s="243">
        <f t="shared" ref="U482" si="235">+S482/K482</f>
        <v>2.5343123364535786E-2</v>
      </c>
      <c r="W482">
        <f t="shared" si="215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ref="K483" si="236">SUM(E483:I483)</f>
        <v>3490675</v>
      </c>
      <c r="L483" s="6"/>
      <c r="M483" s="438">
        <f t="shared" ref="M483" si="237">+(K483-K482)/K482</f>
        <v>1.3122393249474174E-4</v>
      </c>
      <c r="N483" s="29"/>
      <c r="O483" s="29"/>
      <c r="P483" s="29"/>
      <c r="Q483" s="332">
        <f t="shared" ref="Q483" si="238">+K483-K482</f>
        <v>458</v>
      </c>
      <c r="R483" s="6"/>
      <c r="S483" s="7">
        <f>53705+26477+8279</f>
        <v>88461</v>
      </c>
      <c r="T483" s="6"/>
      <c r="U483" s="243">
        <f t="shared" ref="U483" si="239">+S483/K483</f>
        <v>2.5342089996920367E-2</v>
      </c>
      <c r="W483">
        <f t="shared" si="215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ref="K484" si="240">SUM(E484:I484)</f>
        <v>3491302</v>
      </c>
      <c r="L484" s="6"/>
      <c r="M484" s="438">
        <f t="shared" ref="M484" si="241">+(K484-K483)/K483</f>
        <v>1.7962141992594556E-4</v>
      </c>
      <c r="N484" s="29"/>
      <c r="O484" s="29"/>
      <c r="P484" s="29"/>
      <c r="Q484" s="332">
        <f t="shared" ref="Q484" si="242">+K484-K483</f>
        <v>627</v>
      </c>
      <c r="R484" s="6"/>
      <c r="S484" s="7">
        <f>53711+26477+8279</f>
        <v>88467</v>
      </c>
      <c r="T484" s="6"/>
      <c r="U484" s="243">
        <f t="shared" ref="U484" si="243">+S484/K484</f>
        <v>2.5339257388790771E-2</v>
      </c>
      <c r="W484">
        <f t="shared" si="215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ref="K485" si="244">SUM(E485:I485)</f>
        <v>3492040</v>
      </c>
      <c r="L485" s="6"/>
      <c r="M485" s="438">
        <f t="shared" ref="M485" si="245">+(K485-K484)/K484</f>
        <v>2.1138245846391977E-4</v>
      </c>
      <c r="N485" s="29"/>
      <c r="O485" s="29"/>
      <c r="P485" s="29"/>
      <c r="Q485" s="332">
        <f t="shared" ref="Q485" si="246">+K485-K484</f>
        <v>738</v>
      </c>
      <c r="R485" s="6"/>
      <c r="S485" s="7">
        <f>53717+26490+8278</f>
        <v>88485</v>
      </c>
      <c r="T485" s="6"/>
      <c r="U485" s="243">
        <f t="shared" ref="U485" si="247">+S485/K485</f>
        <v>2.5339056826382288E-2</v>
      </c>
      <c r="W485">
        <f t="shared" si="215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ref="K486" si="248">SUM(E486:I486)</f>
        <v>3493093</v>
      </c>
      <c r="L486" s="6"/>
      <c r="M486" s="438">
        <f t="shared" ref="M486" si="249">+(K486-K485)/K485</f>
        <v>3.0154293765248964E-4</v>
      </c>
      <c r="N486" s="29"/>
      <c r="O486" s="29"/>
      <c r="P486" s="29"/>
      <c r="Q486" s="332">
        <f t="shared" ref="Q486" si="250">+K486-K485</f>
        <v>1053</v>
      </c>
      <c r="R486" s="6"/>
      <c r="S486" s="7">
        <f>53721+26493+8279</f>
        <v>88493</v>
      </c>
      <c r="T486" s="6"/>
      <c r="U486" s="243">
        <f t="shared" ref="U486" si="251">+S486/K486</f>
        <v>2.5333708549987073E-2</v>
      </c>
      <c r="W486">
        <f t="shared" si="215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ref="K487" si="252">SUM(E487:I487)</f>
        <v>3494406</v>
      </c>
      <c r="L487" s="6"/>
      <c r="M487" s="438">
        <f t="shared" ref="M487" si="253">+(K487-K486)/K486</f>
        <v>3.7588463862828729E-4</v>
      </c>
      <c r="N487" s="29"/>
      <c r="O487" s="29"/>
      <c r="P487" s="29"/>
      <c r="Q487" s="332">
        <f t="shared" ref="Q487" si="254">+K487-K486</f>
        <v>1313</v>
      </c>
      <c r="R487" s="6"/>
      <c r="S487" s="7">
        <f>53726+26496+8279</f>
        <v>88501</v>
      </c>
      <c r="T487" s="6"/>
      <c r="U487" s="243">
        <f t="shared" ref="U487" si="255">+S487/K487</f>
        <v>2.5326478949498139E-2</v>
      </c>
      <c r="W487">
        <f t="shared" si="215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ref="K488" si="256">SUM(E488:I488)</f>
        <v>3495549</v>
      </c>
      <c r="L488" s="6"/>
      <c r="M488" s="438">
        <f t="shared" ref="M488" si="257">+(K488-K487)/K487</f>
        <v>3.2709421858822358E-4</v>
      </c>
      <c r="N488" s="29"/>
      <c r="O488" s="29"/>
      <c r="P488" s="29"/>
      <c r="Q488" s="332">
        <f t="shared" ref="Q488" si="258">+K488-K487</f>
        <v>1143</v>
      </c>
      <c r="R488" s="6"/>
      <c r="S488" s="7">
        <f>53733+26501+8279</f>
        <v>88513</v>
      </c>
      <c r="T488" s="6"/>
      <c r="U488" s="243">
        <f t="shared" ref="U488" si="259">+S488/K488</f>
        <v>2.5321630450610189E-2</v>
      </c>
      <c r="W488">
        <f t="shared" si="215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ref="K489" si="260">SUM(E489:I489)</f>
        <v>3496526</v>
      </c>
      <c r="L489" s="6"/>
      <c r="M489" s="438">
        <f t="shared" ref="M489" si="261">+(K489-K488)/K488</f>
        <v>2.7949829912268429E-4</v>
      </c>
      <c r="N489" s="29"/>
      <c r="O489" s="29"/>
      <c r="P489" s="29"/>
      <c r="Q489" s="332">
        <f t="shared" ref="Q489" si="262">+K489-K488</f>
        <v>977</v>
      </c>
      <c r="R489" s="6"/>
      <c r="S489" s="7">
        <f>53735+26505+8279</f>
        <v>88519</v>
      </c>
      <c r="T489" s="6"/>
      <c r="U489" s="243">
        <f t="shared" ref="U489" si="263">+S489/K489</f>
        <v>2.531627106447943E-2</v>
      </c>
      <c r="W489">
        <f t="shared" si="215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ref="K490" si="264">SUM(E490:I490)</f>
        <v>3497444</v>
      </c>
      <c r="L490" s="6"/>
      <c r="M490" s="438">
        <f t="shared" ref="M490" si="265">+(K490-K489)/K489</f>
        <v>2.6254631025194724E-4</v>
      </c>
      <c r="N490" s="29"/>
      <c r="O490" s="29"/>
      <c r="P490" s="29"/>
      <c r="Q490" s="332">
        <f t="shared" ref="Q490" si="266">+K490-K489</f>
        <v>918</v>
      </c>
      <c r="R490" s="6"/>
      <c r="S490" s="7">
        <f>53737+26509+8279</f>
        <v>88525</v>
      </c>
      <c r="T490" s="6"/>
      <c r="U490" s="243">
        <f t="shared" ref="U490" si="267">+S490/K490</f>
        <v>2.531134165407652E-2</v>
      </c>
      <c r="W490">
        <f t="shared" si="215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ref="K491" si="268">SUM(E491:I491)</f>
        <v>3498655</v>
      </c>
      <c r="L491" s="6"/>
      <c r="M491" s="438">
        <f t="shared" ref="M491" si="269">+(K491-K490)/K490</f>
        <v>3.4625286351975903E-4</v>
      </c>
      <c r="N491" s="29"/>
      <c r="O491" s="29"/>
      <c r="P491" s="29"/>
      <c r="Q491" s="332">
        <f t="shared" ref="Q491" si="270">+K491-K490</f>
        <v>1211</v>
      </c>
      <c r="R491" s="6"/>
      <c r="S491" s="7">
        <f>53743+26516+8279</f>
        <v>88538</v>
      </c>
      <c r="T491" s="6"/>
      <c r="U491" s="243">
        <f t="shared" ref="U491" si="271">+S491/K491</f>
        <v>2.5306296276712052E-2</v>
      </c>
      <c r="W491">
        <f t="shared" si="215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ref="K492" si="272">SUM(E492:I492)</f>
        <v>3499902</v>
      </c>
      <c r="L492" s="6"/>
      <c r="M492" s="438">
        <f t="shared" ref="M492" si="273">+(K492-K491)/K491</f>
        <v>3.5642268243081982E-4</v>
      </c>
      <c r="N492" s="29"/>
      <c r="O492" s="29"/>
      <c r="P492" s="29"/>
      <c r="Q492" s="332">
        <f t="shared" ref="Q492" si="274">+K492-K491</f>
        <v>1247</v>
      </c>
      <c r="R492" s="6"/>
      <c r="S492" s="7">
        <f>53754+26527+8279</f>
        <v>88560</v>
      </c>
      <c r="T492" s="6"/>
      <c r="U492" s="243">
        <f t="shared" ref="U492" si="275">+S492/K492</f>
        <v>2.5303565642695137E-2</v>
      </c>
      <c r="W492">
        <f t="shared" si="215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ref="K493" si="276">SUM(E493:I493)</f>
        <v>3501448</v>
      </c>
      <c r="L493" s="6"/>
      <c r="M493" s="438">
        <f t="shared" ref="M493" si="277">+(K493-K492)/K492</f>
        <v>4.4172665406059939E-4</v>
      </c>
      <c r="N493" s="29"/>
      <c r="O493" s="29"/>
      <c r="P493" s="29"/>
      <c r="Q493" s="332">
        <f t="shared" ref="Q493" si="278">+K493-K492</f>
        <v>1546</v>
      </c>
      <c r="R493" s="6"/>
      <c r="S493" s="7">
        <f>53759+26529+8282</f>
        <v>88570</v>
      </c>
      <c r="T493" s="6"/>
      <c r="U493" s="243">
        <f t="shared" ref="U493" si="279">+S493/K493</f>
        <v>2.529524927972656E-2</v>
      </c>
      <c r="W493">
        <f t="shared" si="215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ref="K494" si="280">SUM(E494:I494)</f>
        <v>3502797</v>
      </c>
      <c r="L494" s="6"/>
      <c r="M494" s="438">
        <f t="shared" ref="M494" si="281">+(K494-K493)/K493</f>
        <v>3.8526918006493311E-4</v>
      </c>
      <c r="N494" s="29"/>
      <c r="O494" s="29"/>
      <c r="P494" s="29"/>
      <c r="Q494" s="332">
        <f t="shared" ref="Q494" si="282">+K494-K493</f>
        <v>1349</v>
      </c>
      <c r="R494" s="6"/>
      <c r="S494" s="7">
        <f>53760+26531+8282</f>
        <v>88573</v>
      </c>
      <c r="T494" s="6"/>
      <c r="U494" s="243">
        <f t="shared" ref="U494" si="283">+S494/K494</f>
        <v>2.5286364011388614E-2</v>
      </c>
      <c r="W494">
        <f t="shared" si="215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ref="K495" si="284">SUM(E495:I495)</f>
        <v>3504713</v>
      </c>
      <c r="L495" s="6"/>
      <c r="M495" s="438">
        <f t="shared" ref="M495" si="285">+(K495-K494)/K494</f>
        <v>5.4699144712068665E-4</v>
      </c>
      <c r="N495" s="29"/>
      <c r="O495" s="29"/>
      <c r="P495" s="29"/>
      <c r="Q495" s="332">
        <f t="shared" ref="Q495" si="286">+K495-K494</f>
        <v>1916</v>
      </c>
      <c r="R495" s="6"/>
      <c r="S495" s="7">
        <f>53765+26536+8282</f>
        <v>88583</v>
      </c>
      <c r="T495" s="6"/>
      <c r="U495" s="243">
        <f t="shared" ref="U495" si="287">+S495/K495</f>
        <v>2.5275393448764564E-2</v>
      </c>
      <c r="W495">
        <f t="shared" si="215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ref="K496" si="288">SUM(E496:I496)</f>
        <v>3506286</v>
      </c>
      <c r="L496" s="6"/>
      <c r="M496" s="438">
        <f t="shared" ref="M496" si="289">+(K496-K495)/K495</f>
        <v>4.488241975876484E-4</v>
      </c>
      <c r="N496" s="29"/>
      <c r="O496" s="29"/>
      <c r="P496" s="29"/>
      <c r="Q496" s="332">
        <f t="shared" ref="Q496" si="290">+K496-K495</f>
        <v>1573</v>
      </c>
      <c r="R496" s="6"/>
      <c r="S496" s="7">
        <f>53775+8282+26539</f>
        <v>88596</v>
      </c>
      <c r="T496" s="6"/>
      <c r="U496" s="243">
        <f t="shared" ref="U496" si="291">+S496/K496</f>
        <v>2.5267761956668681E-2</v>
      </c>
      <c r="W496">
        <f t="shared" si="215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ref="K497" si="292">SUM(E497:I497)</f>
        <v>3507919</v>
      </c>
      <c r="L497" s="6"/>
      <c r="M497" s="438">
        <f t="shared" ref="M497" si="293">+(K497-K496)/K496</f>
        <v>4.6573496856788067E-4</v>
      </c>
      <c r="N497" s="29"/>
      <c r="O497" s="29"/>
      <c r="P497" s="29"/>
      <c r="Q497" s="332">
        <f t="shared" ref="Q497" si="294">+K497-K496</f>
        <v>1633</v>
      </c>
      <c r="R497" s="6"/>
      <c r="S497" s="7">
        <f>53780+26545+8282</f>
        <v>88607</v>
      </c>
      <c r="T497" s="6"/>
      <c r="U497" s="243">
        <f t="shared" ref="U497" si="295">+S497/K497</f>
        <v>2.5259135116859881E-2</v>
      </c>
      <c r="W497">
        <f t="shared" si="215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ref="K498" si="296">SUM(E498:I498)</f>
        <v>3509913</v>
      </c>
      <c r="L498" s="6"/>
      <c r="M498" s="438">
        <f t="shared" ref="M498" si="297">+(K498-K497)/K497</f>
        <v>5.6842817636325131E-4</v>
      </c>
      <c r="N498" s="29"/>
      <c r="O498" s="29"/>
      <c r="P498" s="29"/>
      <c r="Q498" s="332">
        <f t="shared" ref="Q498" si="298">+K498-K497</f>
        <v>1994</v>
      </c>
      <c r="R498" s="6"/>
      <c r="S498" s="7">
        <f>53784+26557+8282</f>
        <v>88623</v>
      </c>
      <c r="T498" s="6"/>
      <c r="U498" s="243">
        <f t="shared" ref="U498" si="299">+S498/K498</f>
        <v>2.52493437871537E-2</v>
      </c>
      <c r="W498">
        <f t="shared" si="215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ref="K499" si="300">SUM(E499:I499)</f>
        <v>3512027</v>
      </c>
      <c r="L499" s="6"/>
      <c r="M499" s="438">
        <f t="shared" ref="M499" si="301">+(K499-K498)/K498</f>
        <v>6.0229413093714856E-4</v>
      </c>
      <c r="N499" s="29"/>
      <c r="O499" s="29"/>
      <c r="P499" s="29"/>
      <c r="Q499" s="332">
        <f t="shared" ref="Q499" si="302">+K499-K498</f>
        <v>2114</v>
      </c>
      <c r="R499" s="6"/>
      <c r="S499" s="7">
        <f>53791+26562+8282</f>
        <v>88635</v>
      </c>
      <c r="T499" s="6"/>
      <c r="U499" s="243">
        <f t="shared" ref="U499" si="303">+S499/K499</f>
        <v>2.5237562239698044E-2</v>
      </c>
      <c r="W499">
        <f t="shared" si="215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ref="K500" si="304">SUM(E500:I500)</f>
        <v>3514706</v>
      </c>
      <c r="L500" s="6"/>
      <c r="M500" s="438">
        <f t="shared" ref="M500" si="305">+(K500-K499)/K499</f>
        <v>7.6280734743781864E-4</v>
      </c>
      <c r="N500" s="29"/>
      <c r="O500" s="29"/>
      <c r="P500" s="29"/>
      <c r="Q500" s="332">
        <f t="shared" ref="Q500" si="306">+K500-K499</f>
        <v>2679</v>
      </c>
      <c r="R500" s="6"/>
      <c r="S500" s="7">
        <f>53798+26564+8286</f>
        <v>88648</v>
      </c>
      <c r="T500" s="6"/>
      <c r="U500" s="243">
        <f t="shared" ref="U500" si="307">+S500/K500</f>
        <v>2.5222024260350653E-2</v>
      </c>
      <c r="W500">
        <f t="shared" si="215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ref="K501" si="308">SUM(E501:I501)</f>
        <v>3517557</v>
      </c>
      <c r="L501" s="6"/>
      <c r="M501" s="438">
        <f t="shared" ref="M501" si="309">+(K501-K500)/K500</f>
        <v>8.1116315276441326E-4</v>
      </c>
      <c r="N501" s="29"/>
      <c r="O501" s="29"/>
      <c r="P501" s="29"/>
      <c r="Q501" s="332">
        <f t="shared" ref="Q501" si="310">+K501-K500</f>
        <v>2851</v>
      </c>
      <c r="R501" s="6"/>
      <c r="S501" s="7">
        <f>53801+26568+8286</f>
        <v>88655</v>
      </c>
      <c r="T501" s="6"/>
      <c r="U501" s="243">
        <f t="shared" ref="U501" si="311">+S501/K501</f>
        <v>2.5203571683415506E-2</v>
      </c>
      <c r="W501">
        <f t="shared" si="215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ref="K502" si="312">SUM(E502:I502)</f>
        <v>3520314</v>
      </c>
      <c r="L502" s="6"/>
      <c r="M502" s="438">
        <f t="shared" ref="M502" si="313">+(K502-K501)/K501</f>
        <v>7.837826082135982E-4</v>
      </c>
      <c r="N502" s="29"/>
      <c r="O502" s="29"/>
      <c r="P502" s="29"/>
      <c r="Q502" s="332">
        <f t="shared" ref="Q502" si="314">+K502-K501</f>
        <v>2757</v>
      </c>
      <c r="R502" s="6"/>
      <c r="S502" s="7">
        <f>53804+26573+8286</f>
        <v>88663</v>
      </c>
      <c r="T502" s="6"/>
      <c r="U502" s="243">
        <f t="shared" ref="U502" si="315">+S502/K502</f>
        <v>2.5186105557629235E-2</v>
      </c>
      <c r="W502">
        <f t="shared" si="215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ref="K503" si="316">SUM(E503:I503)</f>
        <v>3521781</v>
      </c>
      <c r="L503" s="6"/>
      <c r="M503" s="438">
        <f t="shared" ref="M503" si="317">+(K503-K502)/K502</f>
        <v>4.1672418994441972E-4</v>
      </c>
      <c r="N503" s="29"/>
      <c r="O503" s="29"/>
      <c r="P503" s="29"/>
      <c r="Q503" s="332">
        <f t="shared" ref="Q503" si="318">+K503-K502</f>
        <v>1467</v>
      </c>
      <c r="R503" s="6"/>
      <c r="S503" s="7">
        <f>53813+26575+8286</f>
        <v>88674</v>
      </c>
      <c r="T503" s="6"/>
      <c r="U503" s="243">
        <f t="shared" ref="U503" si="319">+S503/K503</f>
        <v>2.5178737689822279E-2</v>
      </c>
      <c r="W503">
        <f t="shared" si="215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ref="K504" si="320">SUM(E504:I504)</f>
        <v>3525502</v>
      </c>
      <c r="L504" s="6"/>
      <c r="M504" s="438">
        <f t="shared" ref="M504" si="321">+(K504-K503)/K503</f>
        <v>1.0565676854977638E-3</v>
      </c>
      <c r="N504" s="29"/>
      <c r="O504" s="29"/>
      <c r="P504" s="29"/>
      <c r="Q504" s="332">
        <f t="shared" ref="Q504" si="322">+K504-K503</f>
        <v>3721</v>
      </c>
      <c r="R504" s="6"/>
      <c r="S504" s="7">
        <f>53610+26579+8288</f>
        <v>88477</v>
      </c>
      <c r="T504" s="6"/>
      <c r="U504" s="243">
        <f t="shared" ref="U504" si="323">+S504/K504</f>
        <v>2.5096284160383401E-2</v>
      </c>
      <c r="W504">
        <f t="shared" si="215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" si="324">SUM(E505:I505)</f>
        <v>3528399</v>
      </c>
      <c r="L505" s="6"/>
      <c r="M505" s="438">
        <f t="shared" ref="M505" si="325">+(K505-K504)/K504</f>
        <v>8.2172694838919395E-4</v>
      </c>
      <c r="N505" s="29"/>
      <c r="O505" s="29"/>
      <c r="P505" s="29"/>
      <c r="Q505" s="332">
        <f t="shared" ref="Q505" si="326">+K505-K504</f>
        <v>2897</v>
      </c>
      <c r="R505" s="6"/>
      <c r="S505" s="7">
        <f>53611+26586+8288</f>
        <v>88485</v>
      </c>
      <c r="T505" s="6"/>
      <c r="U505" s="243">
        <f t="shared" ref="U505" si="327">+S505/K505</f>
        <v>2.5077946116638168E-2</v>
      </c>
      <c r="W505">
        <f t="shared" si="215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ref="K506" si="328">SUM(E506:I506)</f>
        <v>3531612</v>
      </c>
      <c r="L506" s="6"/>
      <c r="M506" s="438">
        <f t="shared" ref="M506" si="329">+(K506-K505)/K505</f>
        <v>9.1061129991250995E-4</v>
      </c>
      <c r="N506" s="29"/>
      <c r="O506" s="29"/>
      <c r="P506" s="29"/>
      <c r="Q506" s="332">
        <f t="shared" ref="Q506" si="330">+K506-K505</f>
        <v>3213</v>
      </c>
      <c r="R506" s="6"/>
      <c r="S506" s="7">
        <f>53623+26589+8288</f>
        <v>88500</v>
      </c>
      <c r="T506" s="6"/>
      <c r="U506" s="243">
        <f t="shared" ref="U506" si="331">+S506/K506</f>
        <v>2.5059377983764921E-2</v>
      </c>
      <c r="W506">
        <f t="shared" si="215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ref="K507" si="332">SUM(E507:I507)</f>
        <v>3535637</v>
      </c>
      <c r="L507" s="6"/>
      <c r="M507" s="438">
        <f t="shared" ref="M507" si="333">+(K507-K506)/K506</f>
        <v>1.1397061738378962E-3</v>
      </c>
      <c r="N507" s="29"/>
      <c r="O507" s="29"/>
      <c r="P507" s="29"/>
      <c r="Q507" s="332">
        <f t="shared" ref="Q507" si="334">+K507-K506</f>
        <v>4025</v>
      </c>
      <c r="R507" s="6"/>
      <c r="S507" s="7">
        <f>53625+26590+8293</f>
        <v>88508</v>
      </c>
      <c r="T507" s="6"/>
      <c r="U507" s="243">
        <f t="shared" ref="U507" si="335">+S507/K507</f>
        <v>2.5033112845012088E-2</v>
      </c>
      <c r="W507">
        <f t="shared" si="215"/>
        <v>497</v>
      </c>
      <c r="Y507" s="56"/>
    </row>
    <row r="508" spans="3:25" x14ac:dyDescent="0.3">
      <c r="C508" s="157">
        <f t="shared" ref="C508:C533" si="336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ref="K508" si="337">SUM(E508:I508)</f>
        <v>3539824</v>
      </c>
      <c r="L508" s="6"/>
      <c r="M508" s="438">
        <f t="shared" ref="M508" si="338">+(K508-K507)/K507</f>
        <v>1.1842279057493741E-3</v>
      </c>
      <c r="N508" s="29"/>
      <c r="O508" s="29"/>
      <c r="P508" s="29"/>
      <c r="Q508" s="332">
        <f t="shared" ref="Q508" si="339">+K508-K507</f>
        <v>4187</v>
      </c>
      <c r="R508" s="6"/>
      <c r="S508" s="7">
        <f>53632+26595+8293</f>
        <v>88520</v>
      </c>
      <c r="T508" s="6"/>
      <c r="U508" s="243">
        <f t="shared" ref="U508" si="340">+S508/K508</f>
        <v>2.5006892998069959E-2</v>
      </c>
      <c r="W508">
        <f t="shared" si="215"/>
        <v>498</v>
      </c>
      <c r="Y508" s="56"/>
    </row>
    <row r="509" spans="3:25" x14ac:dyDescent="0.3">
      <c r="C509" s="157">
        <f t="shared" si="336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ref="K509" si="341">SUM(E509:I509)</f>
        <v>3544078</v>
      </c>
      <c r="L509" s="6"/>
      <c r="M509" s="438">
        <f t="shared" ref="M509" si="342">+(K509-K508)/K508</f>
        <v>1.2017546635086941E-3</v>
      </c>
      <c r="N509" s="29"/>
      <c r="O509" s="29"/>
      <c r="P509" s="29"/>
      <c r="Q509" s="332">
        <f t="shared" ref="Q509" si="343">+K509-K508</f>
        <v>4254</v>
      </c>
      <c r="R509" s="6"/>
      <c r="S509" s="7">
        <f>53641+26602+8293</f>
        <v>88536</v>
      </c>
      <c r="T509" s="6"/>
      <c r="U509" s="243">
        <f t="shared" ref="U509" si="344">+S509/K509</f>
        <v>2.498139149307662E-2</v>
      </c>
      <c r="W509">
        <f t="shared" si="215"/>
        <v>499</v>
      </c>
      <c r="Y509" s="56"/>
    </row>
    <row r="510" spans="3:25" x14ac:dyDescent="0.3">
      <c r="C510" s="157">
        <f t="shared" si="336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ref="K510" si="345">SUM(E510:I510)</f>
        <v>3547580</v>
      </c>
      <c r="L510" s="6"/>
      <c r="M510" s="438">
        <f t="shared" ref="M510" si="346">+(K510-K509)/K509</f>
        <v>9.8812723647730095E-4</v>
      </c>
      <c r="N510" s="29"/>
      <c r="O510" s="29"/>
      <c r="P510" s="29"/>
      <c r="Q510" s="332">
        <f t="shared" ref="Q510" si="347">+K510-K509</f>
        <v>3502</v>
      </c>
      <c r="R510" s="6"/>
      <c r="S510" s="7">
        <f>53650+26607+8293</f>
        <v>88550</v>
      </c>
      <c r="T510" s="6"/>
      <c r="U510" s="243">
        <f t="shared" ref="U510" si="348">+S510/K510</f>
        <v>2.4960677419536698E-2</v>
      </c>
      <c r="W510">
        <f t="shared" si="215"/>
        <v>500</v>
      </c>
      <c r="Y510" s="56"/>
    </row>
    <row r="511" spans="3:25" x14ac:dyDescent="0.3">
      <c r="C511" s="157">
        <f t="shared" si="336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ref="K511" si="349">SUM(E511:I511)</f>
        <v>3552095</v>
      </c>
      <c r="L511" s="6"/>
      <c r="M511" s="438">
        <f t="shared" ref="M511" si="350">+(K511-K510)/K510</f>
        <v>1.2726985719842823E-3</v>
      </c>
      <c r="N511" s="29"/>
      <c r="O511" s="29"/>
      <c r="P511" s="29"/>
      <c r="Q511" s="332">
        <f t="shared" ref="Q511" si="351">+K511-K510</f>
        <v>4515</v>
      </c>
      <c r="R511" s="6"/>
      <c r="S511" s="7">
        <f>53657+26606+8293</f>
        <v>88556</v>
      </c>
      <c r="T511" s="6"/>
      <c r="U511" s="243">
        <f t="shared" ref="U511" si="352">+S511/K511</f>
        <v>2.4930639523999217E-2</v>
      </c>
      <c r="W511">
        <f t="shared" si="215"/>
        <v>501</v>
      </c>
      <c r="Y511" s="56"/>
    </row>
    <row r="512" spans="3:25" x14ac:dyDescent="0.3">
      <c r="C512" s="157">
        <f t="shared" si="336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ref="K512" si="353">SUM(E512:I512)</f>
        <v>3557024</v>
      </c>
      <c r="L512" s="6"/>
      <c r="M512" s="438">
        <f t="shared" ref="M512" si="354">+(K512-K511)/K511</f>
        <v>1.3876318060187017E-3</v>
      </c>
      <c r="N512" s="29"/>
      <c r="O512" s="29"/>
      <c r="P512" s="29"/>
      <c r="Q512" s="332">
        <f t="shared" ref="Q512" si="355">+K512-K511</f>
        <v>4929</v>
      </c>
      <c r="R512" s="6"/>
      <c r="S512" s="7">
        <f>53670+26614+8292</f>
        <v>88576</v>
      </c>
      <c r="T512" s="6"/>
      <c r="U512" s="243">
        <f t="shared" ref="U512" si="356">+S512/K512</f>
        <v>2.4901715591460725E-2</v>
      </c>
      <c r="W512">
        <f t="shared" si="215"/>
        <v>502</v>
      </c>
      <c r="Y512" s="56"/>
    </row>
    <row r="513" spans="3:25" x14ac:dyDescent="0.3">
      <c r="C513" s="157">
        <f t="shared" si="336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ref="K513" si="357">SUM(E513:I513)</f>
        <v>3561717</v>
      </c>
      <c r="L513" s="6"/>
      <c r="M513" s="438">
        <f t="shared" ref="M513" si="358">+(K513-K512)/K512</f>
        <v>1.3193613537608967E-3</v>
      </c>
      <c r="N513" s="29"/>
      <c r="O513" s="29"/>
      <c r="P513" s="29"/>
      <c r="Q513" s="332">
        <f t="shared" ref="Q513" si="359">+K513-K512</f>
        <v>4693</v>
      </c>
      <c r="R513" s="6"/>
      <c r="S513" s="7">
        <f>53676+26625+8292</f>
        <v>88593</v>
      </c>
      <c r="T513" s="6"/>
      <c r="U513" s="243">
        <f t="shared" ref="U513" si="360">+S513/K513</f>
        <v>2.487367749880184E-2</v>
      </c>
      <c r="W513">
        <f t="shared" si="215"/>
        <v>503</v>
      </c>
      <c r="Y513" s="56"/>
    </row>
    <row r="514" spans="3:25" x14ac:dyDescent="0.3">
      <c r="C514" s="157">
        <f t="shared" si="336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ref="K514" si="361">SUM(E514:I514)</f>
        <v>3567363</v>
      </c>
      <c r="L514" s="6"/>
      <c r="M514" s="438">
        <f t="shared" ref="M514" si="362">+(K514-K513)/K513</f>
        <v>1.5851905134517986E-3</v>
      </c>
      <c r="N514" s="29"/>
      <c r="O514" s="29"/>
      <c r="P514" s="29"/>
      <c r="Q514" s="332">
        <f t="shared" ref="Q514" si="363">+K514-K513</f>
        <v>5646</v>
      </c>
      <c r="R514" s="6"/>
      <c r="S514" s="7">
        <f>53691+26629+8296</f>
        <v>88616</v>
      </c>
      <c r="T514" s="6"/>
      <c r="U514" s="243">
        <f t="shared" ref="U514" si="364">+S514/K514</f>
        <v>2.4840757724963788E-2</v>
      </c>
      <c r="W514">
        <f t="shared" si="215"/>
        <v>504</v>
      </c>
      <c r="Y514" s="56"/>
    </row>
    <row r="515" spans="3:25" x14ac:dyDescent="0.3">
      <c r="C515" s="157">
        <f t="shared" si="336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ref="K515" si="365">SUM(E515:I515)</f>
        <v>3573179</v>
      </c>
      <c r="L515" s="6"/>
      <c r="M515" s="438">
        <f t="shared" ref="M515" si="366">+(K515-K514)/K514</f>
        <v>1.6303359091855805E-3</v>
      </c>
      <c r="N515" s="29"/>
      <c r="O515" s="29"/>
      <c r="P515" s="29"/>
      <c r="Q515" s="332">
        <f t="shared" ref="Q515" si="367">+K515-K514</f>
        <v>5816</v>
      </c>
      <c r="R515" s="6"/>
      <c r="S515" s="7">
        <f>53694+26636+8296</f>
        <v>88626</v>
      </c>
      <c r="T515" s="6"/>
      <c r="U515" s="243">
        <f t="shared" ref="U515" si="368">+S515/K515</f>
        <v>2.4803123493113557E-2</v>
      </c>
      <c r="W515">
        <f t="shared" si="215"/>
        <v>505</v>
      </c>
      <c r="Y515" s="56"/>
    </row>
    <row r="516" spans="3:25" x14ac:dyDescent="0.3">
      <c r="C516" s="157">
        <f t="shared" si="336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ref="K516" si="369">SUM(E516:I516)</f>
        <v>3579209</v>
      </c>
      <c r="L516" s="6"/>
      <c r="M516" s="438">
        <f t="shared" ref="M516" si="370">+(K516-K515)/K515</f>
        <v>1.687572886776733E-3</v>
      </c>
      <c r="N516" s="29"/>
      <c r="O516" s="29"/>
      <c r="P516" s="29"/>
      <c r="Q516" s="332">
        <f t="shared" ref="Q516" si="371">+K516-K515</f>
        <v>6030</v>
      </c>
      <c r="R516" s="6"/>
      <c r="S516" s="7">
        <f>53729+26645+8296</f>
        <v>88670</v>
      </c>
      <c r="T516" s="6"/>
      <c r="U516" s="243">
        <f t="shared" ref="U516" si="372">+S516/K516</f>
        <v>2.4773630151242915E-2</v>
      </c>
      <c r="W516">
        <f t="shared" si="215"/>
        <v>506</v>
      </c>
      <c r="Y516" s="56"/>
    </row>
    <row r="517" spans="3:25" x14ac:dyDescent="0.3">
      <c r="C517" s="157">
        <f t="shared" si="336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ref="K517" si="373">SUM(E517:I517)</f>
        <v>3583956</v>
      </c>
      <c r="L517" s="6"/>
      <c r="M517" s="438">
        <f t="shared" ref="M517" si="374">+(K517-K516)/K516</f>
        <v>1.3262706927703858E-3</v>
      </c>
      <c r="N517" s="29"/>
      <c r="O517" s="29"/>
      <c r="P517" s="29"/>
      <c r="Q517" s="332">
        <f t="shared" ref="Q517" si="375">+K517-K516</f>
        <v>4747</v>
      </c>
      <c r="R517" s="6"/>
      <c r="S517" s="7">
        <f>53744+26650+8296</f>
        <v>88690</v>
      </c>
      <c r="T517" s="6"/>
      <c r="U517" s="243">
        <f t="shared" ref="U517" si="376">+S517/K517</f>
        <v>2.4746397556219997E-2</v>
      </c>
      <c r="W517">
        <f t="shared" si="215"/>
        <v>507</v>
      </c>
      <c r="Y517" s="56"/>
    </row>
    <row r="518" spans="3:25" x14ac:dyDescent="0.3">
      <c r="C518" s="157">
        <f t="shared" si="336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ref="K518" si="377">SUM(E518:I518)</f>
        <v>3588170</v>
      </c>
      <c r="L518" s="6"/>
      <c r="M518" s="438">
        <f t="shared" ref="M518" si="378">+(K518-K517)/K517</f>
        <v>1.1757956849916685E-3</v>
      </c>
      <c r="N518" s="29"/>
      <c r="O518" s="29"/>
      <c r="P518" s="29"/>
      <c r="Q518" s="332">
        <f t="shared" ref="Q518" si="379">+K518-K517</f>
        <v>4214</v>
      </c>
      <c r="R518" s="6"/>
      <c r="S518" s="7">
        <f>53750+26650+8296</f>
        <v>88696</v>
      </c>
      <c r="T518" s="6"/>
      <c r="U518" s="243">
        <f t="shared" ref="U518" si="380">+S518/K518</f>
        <v>2.4719007181933966E-2</v>
      </c>
      <c r="W518">
        <f t="shared" si="215"/>
        <v>508</v>
      </c>
      <c r="Y518" s="56"/>
    </row>
    <row r="519" spans="3:25" x14ac:dyDescent="0.3">
      <c r="C519" s="157">
        <f t="shared" si="336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ref="K519:K520" si="381">SUM(E519:I519)</f>
        <v>3592046</v>
      </c>
      <c r="L519" s="6"/>
      <c r="M519" s="438">
        <f t="shared" ref="M519" si="382">+(K519-K518)/K518</f>
        <v>1.0802163777078567E-3</v>
      </c>
      <c r="N519" s="29"/>
      <c r="O519" s="29"/>
      <c r="P519" s="29"/>
      <c r="Q519" s="332">
        <f t="shared" ref="Q519" si="383">+K519-K518</f>
        <v>3876</v>
      </c>
      <c r="R519" s="6"/>
      <c r="S519" s="7">
        <f>53758+26659+8297</f>
        <v>88714</v>
      </c>
      <c r="T519" s="6"/>
      <c r="U519" s="243">
        <f t="shared" ref="U519" si="384">+S519/K519</f>
        <v>2.4697345189900129E-2</v>
      </c>
      <c r="W519">
        <f t="shared" si="215"/>
        <v>509</v>
      </c>
      <c r="Y519" s="56"/>
    </row>
    <row r="520" spans="3:25" x14ac:dyDescent="0.3">
      <c r="C520" s="157">
        <f t="shared" si="336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381"/>
        <v>3601299</v>
      </c>
      <c r="L520" s="6"/>
      <c r="M520" s="438">
        <f t="shared" ref="M520" si="385">+(K520-K519)/K519</f>
        <v>2.5759692387012862E-3</v>
      </c>
      <c r="N520" s="29"/>
      <c r="O520" s="29"/>
      <c r="P520" s="29"/>
      <c r="Q520" s="332">
        <f t="shared" ref="Q520" si="386">+K520-K519</f>
        <v>9253</v>
      </c>
      <c r="R520" s="6"/>
      <c r="S520" s="7">
        <f>53797+26665+8297</f>
        <v>88759</v>
      </c>
      <c r="T520" s="6"/>
      <c r="U520" s="243">
        <f t="shared" ref="U520" si="387">+S520/K520</f>
        <v>2.4646384540689344E-2</v>
      </c>
      <c r="W520">
        <f t="shared" si="215"/>
        <v>510</v>
      </c>
      <c r="Y520" s="56"/>
    </row>
    <row r="521" spans="3:25" x14ac:dyDescent="0.3">
      <c r="C521" s="157">
        <f t="shared" si="336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ref="K521" si="388">SUM(E521:I521)</f>
        <v>3608770</v>
      </c>
      <c r="L521" s="6"/>
      <c r="M521" s="438">
        <f t="shared" ref="M521" si="389">+(K521-K520)/K520</f>
        <v>2.0745292184847744E-3</v>
      </c>
      <c r="N521" s="29"/>
      <c r="O521" s="29"/>
      <c r="P521" s="29"/>
      <c r="Q521" s="332">
        <f t="shared" ref="Q521" si="390">+K521-K520</f>
        <v>7471</v>
      </c>
      <c r="R521" s="6"/>
      <c r="S521" s="7">
        <f>53828+26672+8307</f>
        <v>88807</v>
      </c>
      <c r="T521" s="6"/>
      <c r="U521" s="243">
        <f t="shared" ref="U521" si="391">+S521/K521</f>
        <v>2.4608661676970268E-2</v>
      </c>
      <c r="W521">
        <f t="shared" si="215"/>
        <v>511</v>
      </c>
      <c r="Y521" s="56"/>
    </row>
    <row r="522" spans="3:25" x14ac:dyDescent="0.3">
      <c r="C522" s="157">
        <f t="shared" si="336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ref="K522" si="392">SUM(E522:I522)</f>
        <v>3615798</v>
      </c>
      <c r="L522" s="6"/>
      <c r="M522" s="438">
        <f t="shared" ref="M522" si="393">+(K522-K521)/K521</f>
        <v>1.9474779495506779E-3</v>
      </c>
      <c r="N522" s="29"/>
      <c r="O522" s="29"/>
      <c r="P522" s="29"/>
      <c r="Q522" s="332">
        <f t="shared" ref="Q522" si="394">+K522-K521</f>
        <v>7028</v>
      </c>
      <c r="R522" s="6"/>
      <c r="S522" s="7">
        <f>53840+26681+8307</f>
        <v>88828</v>
      </c>
      <c r="T522" s="6"/>
      <c r="U522" s="243">
        <f t="shared" ref="U522" si="395">+S522/K522</f>
        <v>2.4566637848685131E-2</v>
      </c>
      <c r="W522">
        <f t="shared" si="215"/>
        <v>512</v>
      </c>
      <c r="Y522" s="56"/>
    </row>
    <row r="523" spans="3:25" x14ac:dyDescent="0.3">
      <c r="C523" s="157">
        <f t="shared" si="336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ref="K523" si="396">SUM(E523:I523)</f>
        <v>3622964</v>
      </c>
      <c r="L523" s="6"/>
      <c r="M523" s="438">
        <f t="shared" ref="M523" si="397">+(K523-K522)/K522</f>
        <v>1.9818584998387632E-3</v>
      </c>
      <c r="N523" s="29"/>
      <c r="O523" s="29"/>
      <c r="P523" s="29"/>
      <c r="Q523" s="332">
        <f t="shared" ref="Q523" si="398">+K523-K522</f>
        <v>7166</v>
      </c>
      <c r="R523" s="6"/>
      <c r="S523" s="7">
        <f>53855+26692+8307</f>
        <v>88854</v>
      </c>
      <c r="T523" s="6"/>
      <c r="U523" s="243">
        <f t="shared" ref="U523" si="399">+S523/K523</f>
        <v>2.4525222994211369E-2</v>
      </c>
      <c r="W523">
        <f t="shared" si="215"/>
        <v>513</v>
      </c>
      <c r="Y523" s="56"/>
    </row>
    <row r="524" spans="3:25" x14ac:dyDescent="0.3">
      <c r="C524" s="157">
        <f t="shared" si="336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ref="K524" si="400">SUM(E524:I524)</f>
        <v>3624293</v>
      </c>
      <c r="L524" s="6"/>
      <c r="M524" s="438">
        <f t="shared" ref="M524" si="401">+(K524-K523)/K523</f>
        <v>3.668267197797163E-4</v>
      </c>
      <c r="N524" s="29"/>
      <c r="O524" s="29"/>
      <c r="P524" s="29"/>
      <c r="Q524" s="332">
        <f t="shared" ref="Q524" si="402">+K524-K523</f>
        <v>1329</v>
      </c>
      <c r="R524" s="6"/>
      <c r="S524" s="7">
        <f>54067+26695+8307</f>
        <v>89069</v>
      </c>
      <c r="T524" s="6"/>
      <c r="U524" s="243">
        <f t="shared" ref="U524" si="403">+S524/K524</f>
        <v>2.457555170070411E-2</v>
      </c>
      <c r="W524">
        <f t="shared" si="215"/>
        <v>514</v>
      </c>
      <c r="Y524" s="56"/>
    </row>
    <row r="525" spans="3:25" x14ac:dyDescent="0.3">
      <c r="C525" s="157">
        <f t="shared" si="336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ref="K525" si="404">SUM(E525:I525)</f>
        <v>3633000</v>
      </c>
      <c r="L525" s="6"/>
      <c r="M525" s="438">
        <f t="shared" ref="M525" si="405">+(K525-K524)/K524</f>
        <v>2.4023995852432462E-3</v>
      </c>
      <c r="N525" s="29"/>
      <c r="O525" s="29"/>
      <c r="P525" s="29"/>
      <c r="Q525" s="332">
        <f t="shared" ref="Q525" si="406">+K525-K524</f>
        <v>8707</v>
      </c>
      <c r="R525" s="6"/>
      <c r="S525" s="7">
        <f>54067+26695+8307</f>
        <v>89069</v>
      </c>
      <c r="T525" s="6"/>
      <c r="U525" s="243">
        <f t="shared" ref="U525" si="407">+S525/K525</f>
        <v>2.4516652903936141E-2</v>
      </c>
      <c r="W525">
        <f t="shared" si="215"/>
        <v>515</v>
      </c>
      <c r="Y525" s="56"/>
    </row>
    <row r="526" spans="3:25" x14ac:dyDescent="0.3">
      <c r="C526" s="157">
        <f t="shared" si="336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ref="K526" si="408">SUM(E526:I526)</f>
        <v>3640652</v>
      </c>
      <c r="L526" s="6"/>
      <c r="M526" s="438">
        <f t="shared" ref="M526" si="409">+(K526-K525)/K525</f>
        <v>2.1062482796586845E-3</v>
      </c>
      <c r="N526" s="29"/>
      <c r="O526" s="29"/>
      <c r="P526" s="29"/>
      <c r="Q526" s="332">
        <f t="shared" ref="Q526" si="410">+K526-K525</f>
        <v>7652</v>
      </c>
      <c r="R526" s="6"/>
      <c r="S526" s="7">
        <f>54136+26716+8304</f>
        <v>89156</v>
      </c>
      <c r="T526" s="6"/>
      <c r="U526" s="243">
        <f t="shared" ref="U526" si="411">+S526/K526</f>
        <v>2.4489020098597724E-2</v>
      </c>
      <c r="W526">
        <f t="shared" si="215"/>
        <v>516</v>
      </c>
      <c r="Y526" s="56"/>
    </row>
    <row r="527" spans="3:25" x14ac:dyDescent="0.3">
      <c r="C527" s="157">
        <f t="shared" si="336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ref="K527" si="412">SUM(E527:I527)</f>
        <v>3648596</v>
      </c>
      <c r="L527" s="6"/>
      <c r="M527" s="438">
        <f t="shared" ref="M527" si="413">+(K527-K526)/K526</f>
        <v>2.1820267358703882E-3</v>
      </c>
      <c r="N527" s="29"/>
      <c r="O527" s="29"/>
      <c r="P527" s="29"/>
      <c r="Q527" s="332">
        <f t="shared" ref="Q527" si="414">+K527-K526</f>
        <v>7944</v>
      </c>
      <c r="R527" s="6"/>
      <c r="S527" s="7">
        <f>53939+26721+8307</f>
        <v>88967</v>
      </c>
      <c r="T527" s="6"/>
      <c r="U527" s="243">
        <f t="shared" ref="U527" si="415">+S527/K527</f>
        <v>2.4383899998794055E-2</v>
      </c>
      <c r="W527">
        <f t="shared" si="215"/>
        <v>517</v>
      </c>
      <c r="Y527" s="56"/>
    </row>
    <row r="528" spans="3:25" x14ac:dyDescent="0.3">
      <c r="C528" s="157">
        <f t="shared" si="336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ref="K528" si="416">SUM(E528:I528)</f>
        <v>3656235</v>
      </c>
      <c r="L528" s="6"/>
      <c r="M528" s="438">
        <f t="shared" ref="M528" si="417">+(K528-K527)/K527</f>
        <v>2.0936820629085819E-3</v>
      </c>
      <c r="N528" s="29"/>
      <c r="O528" s="29"/>
      <c r="P528" s="29"/>
      <c r="Q528" s="332">
        <f t="shared" ref="Q528" si="418">+K528-K527</f>
        <v>7639</v>
      </c>
      <c r="R528" s="6"/>
      <c r="S528" s="7">
        <f>53959+26731+8330</f>
        <v>89020</v>
      </c>
      <c r="T528" s="6"/>
      <c r="U528" s="243">
        <f t="shared" ref="U528" si="419">+S528/K528</f>
        <v>2.4347450314326075E-2</v>
      </c>
      <c r="W528">
        <f t="shared" si="215"/>
        <v>518</v>
      </c>
      <c r="Y528" s="56"/>
    </row>
    <row r="529" spans="3:41" x14ac:dyDescent="0.3">
      <c r="C529" s="157">
        <f t="shared" si="336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ref="K529" si="420">SUM(E529:I529)</f>
        <v>3663694</v>
      </c>
      <c r="L529" s="6"/>
      <c r="M529" s="438">
        <f t="shared" ref="M529" si="421">+(K529-K528)/K528</f>
        <v>2.040076745613999E-3</v>
      </c>
      <c r="N529" s="29"/>
      <c r="O529" s="29"/>
      <c r="P529" s="29"/>
      <c r="Q529" s="332">
        <f t="shared" ref="Q529" si="422">+K529-K528</f>
        <v>7459</v>
      </c>
      <c r="R529" s="6"/>
      <c r="S529" s="7">
        <f>53974+26739+8337</f>
        <v>89050</v>
      </c>
      <c r="T529" s="6"/>
      <c r="U529" s="243">
        <f t="shared" ref="U529" si="423">+S529/K529</f>
        <v>2.4306069229580854E-2</v>
      </c>
      <c r="W529">
        <f t="shared" si="215"/>
        <v>519</v>
      </c>
      <c r="Y529" s="56"/>
    </row>
    <row r="530" spans="3:41" x14ac:dyDescent="0.3">
      <c r="C530" s="157">
        <f t="shared" si="336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ref="K530" si="424">SUM(E530:I530)</f>
        <v>3671795</v>
      </c>
      <c r="L530" s="6"/>
      <c r="M530" s="438">
        <f t="shared" ref="M530" si="425">+(K530-K529)/K529</f>
        <v>2.2111562810649579E-3</v>
      </c>
      <c r="N530" s="29"/>
      <c r="O530" s="29"/>
      <c r="P530" s="29"/>
      <c r="Q530" s="332">
        <f t="shared" ref="Q530" si="426">+K530-K529</f>
        <v>8101</v>
      </c>
      <c r="R530" s="6"/>
      <c r="S530" s="7">
        <f>54012+26750+8337</f>
        <v>89099</v>
      </c>
      <c r="T530" s="6"/>
      <c r="U530" s="243">
        <f t="shared" ref="U530" si="427">+S530/K530</f>
        <v>2.4265788258876108E-2</v>
      </c>
      <c r="W530">
        <f t="shared" si="215"/>
        <v>520</v>
      </c>
      <c r="Y530" s="56"/>
    </row>
    <row r="531" spans="3:41" x14ac:dyDescent="0.3">
      <c r="C531" s="157">
        <f t="shared" si="336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ref="K531" si="428">SUM(E531:I531)</f>
        <v>3677801</v>
      </c>
      <c r="L531" s="6"/>
      <c r="M531" s="438">
        <f t="shared" ref="M531" si="429">+(K531-K530)/K530</f>
        <v>1.635712233389936E-3</v>
      </c>
      <c r="N531" s="29"/>
      <c r="O531" s="29"/>
      <c r="P531" s="29"/>
      <c r="Q531" s="332">
        <f t="shared" ref="Q531" si="430">+K531-K530</f>
        <v>6006</v>
      </c>
      <c r="R531" s="6"/>
      <c r="S531" s="7">
        <f>54029+26752+8337</f>
        <v>89118</v>
      </c>
      <c r="T531" s="6"/>
      <c r="U531" s="243">
        <f t="shared" ref="U531" si="431">+S531/K531</f>
        <v>2.4231327361105181E-2</v>
      </c>
      <c r="W531">
        <f t="shared" si="215"/>
        <v>521</v>
      </c>
      <c r="Y531" s="56"/>
    </row>
    <row r="532" spans="3:41" x14ac:dyDescent="0.3">
      <c r="C532" s="157">
        <f t="shared" si="336"/>
        <v>44431</v>
      </c>
      <c r="E532" s="241"/>
      <c r="F532" s="7"/>
      <c r="G532" s="7"/>
      <c r="H532" s="7"/>
      <c r="I532" s="7"/>
      <c r="J532" s="244"/>
      <c r="K532" s="7"/>
      <c r="L532" s="6"/>
      <c r="M532" s="438"/>
      <c r="N532" s="29"/>
      <c r="O532" s="29"/>
      <c r="P532" s="29"/>
      <c r="Q532" s="332"/>
      <c r="R532" s="6"/>
      <c r="S532" s="7"/>
      <c r="T532" s="6"/>
      <c r="U532" s="243"/>
      <c r="Y532" s="56"/>
    </row>
    <row r="533" spans="3:41" ht="15" thickBot="1" x14ac:dyDescent="0.35">
      <c r="C533" s="157">
        <f t="shared" si="336"/>
        <v>44432</v>
      </c>
      <c r="E533" s="245"/>
      <c r="F533" s="246"/>
      <c r="G533" s="246"/>
      <c r="H533" s="246"/>
      <c r="I533" s="246"/>
      <c r="J533" s="246"/>
      <c r="K533" s="246"/>
      <c r="L533" s="247"/>
      <c r="M533" s="248"/>
      <c r="N533" s="248"/>
      <c r="O533" s="248"/>
      <c r="P533" s="248"/>
      <c r="Q533" s="331"/>
      <c r="R533" s="247"/>
      <c r="S533" s="247"/>
      <c r="T533" s="247"/>
      <c r="U533" s="249"/>
      <c r="W533">
        <f>+W405+1</f>
        <v>396</v>
      </c>
      <c r="Y533" s="59"/>
    </row>
    <row r="534" spans="3:41" x14ac:dyDescent="0.3">
      <c r="E534" s="56"/>
      <c r="F534" s="1"/>
      <c r="G534" s="56"/>
      <c r="H534" s="56"/>
      <c r="I534" s="56"/>
      <c r="J534" s="1"/>
      <c r="K534" s="56"/>
      <c r="S534" s="56"/>
    </row>
    <row r="535" spans="3:41" x14ac:dyDescent="0.3">
      <c r="C535" s="166" t="s">
        <v>73</v>
      </c>
      <c r="E535" s="56">
        <f>+E531</f>
        <v>2237639</v>
      </c>
      <c r="F535" s="56"/>
      <c r="G535" s="56">
        <f t="shared" ref="G535:U535" si="432">+G531</f>
        <v>1074306</v>
      </c>
      <c r="H535" s="56">
        <f t="shared" si="432"/>
        <v>0</v>
      </c>
      <c r="I535" s="56">
        <f t="shared" si="432"/>
        <v>365856</v>
      </c>
      <c r="J535" s="56">
        <f t="shared" si="432"/>
        <v>0</v>
      </c>
      <c r="K535" s="56">
        <f t="shared" si="432"/>
        <v>3677801</v>
      </c>
      <c r="L535" s="56">
        <f t="shared" si="432"/>
        <v>0</v>
      </c>
      <c r="M535" s="56">
        <f t="shared" si="432"/>
        <v>1.635712233389936E-3</v>
      </c>
      <c r="N535" s="56">
        <f t="shared" si="432"/>
        <v>0</v>
      </c>
      <c r="O535" s="56">
        <f t="shared" si="432"/>
        <v>0</v>
      </c>
      <c r="P535" s="56">
        <f t="shared" si="432"/>
        <v>0</v>
      </c>
      <c r="Q535" s="56">
        <f t="shared" si="432"/>
        <v>6006</v>
      </c>
      <c r="R535" s="56">
        <f t="shared" si="432"/>
        <v>0</v>
      </c>
      <c r="S535" s="56">
        <f t="shared" si="432"/>
        <v>89118</v>
      </c>
      <c r="T535" s="56">
        <f t="shared" si="432"/>
        <v>0</v>
      </c>
      <c r="U535" s="56">
        <f t="shared" si="432"/>
        <v>2.4231327361105181E-2</v>
      </c>
      <c r="V535" s="56">
        <f>+V259</f>
        <v>0</v>
      </c>
    </row>
    <row r="536" spans="3:41" x14ac:dyDescent="0.3">
      <c r="E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</row>
    <row r="537" spans="3:41" x14ac:dyDescent="0.3">
      <c r="E537" s="59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</row>
    <row r="538" spans="3:41" x14ac:dyDescent="0.3">
      <c r="C538" s="111"/>
      <c r="D538" s="112"/>
      <c r="E538" s="349"/>
      <c r="F538" s="10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</row>
    <row r="539" spans="3:41" x14ac:dyDescent="0.3">
      <c r="E539" s="56"/>
      <c r="K539" s="56"/>
      <c r="Q539" s="56"/>
    </row>
    <row r="540" spans="3:41" x14ac:dyDescent="0.3">
      <c r="D540" s="549" t="s">
        <v>26</v>
      </c>
      <c r="E540" t="s">
        <v>158</v>
      </c>
      <c r="K540" s="549"/>
      <c r="Q540" s="56"/>
      <c r="S540" s="59"/>
    </row>
    <row r="542" spans="3:41" x14ac:dyDescent="0.3">
      <c r="U542" s="549"/>
    </row>
    <row r="543" spans="3:41" x14ac:dyDescent="0.3">
      <c r="AO543" s="1">
        <v>3797000</v>
      </c>
    </row>
    <row r="544" spans="3:41" x14ac:dyDescent="0.3">
      <c r="C544" s="1"/>
    </row>
    <row r="545" spans="3:41" x14ac:dyDescent="0.3">
      <c r="C545" s="1"/>
      <c r="AO545" s="1">
        <v>30000</v>
      </c>
    </row>
    <row r="546" spans="3:41" x14ac:dyDescent="0.3">
      <c r="C546" s="59"/>
    </row>
    <row r="547" spans="3:41" x14ac:dyDescent="0.3">
      <c r="AO547" s="235">
        <f>+AO545/AO543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526"/>
  <sheetViews>
    <sheetView topLeftCell="A470" workbookViewId="0">
      <selection activeCell="AH494" sqref="AH494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59" t="s">
        <v>101</v>
      </c>
      <c r="U3" s="660"/>
      <c r="V3" s="660"/>
      <c r="W3" s="660"/>
      <c r="X3" s="660"/>
      <c r="Y3" s="660"/>
      <c r="Z3" s="660"/>
      <c r="AA3" s="660"/>
      <c r="AB3" s="660"/>
      <c r="AC3" s="660"/>
      <c r="AD3" s="661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2.6973472655078965E-2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62" t="s">
        <v>91</v>
      </c>
      <c r="F15" s="662"/>
      <c r="G15" s="662"/>
      <c r="H15" s="662"/>
      <c r="I15" s="662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68" t="s">
        <v>44</v>
      </c>
      <c r="E18" s="669"/>
      <c r="F18" s="669"/>
      <c r="G18" s="669"/>
      <c r="H18" s="669"/>
      <c r="I18" s="669"/>
      <c r="J18" s="669"/>
      <c r="K18" s="669"/>
      <c r="L18" s="669"/>
      <c r="M18" s="669"/>
      <c r="N18" s="669"/>
      <c r="O18" s="670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71" t="s">
        <v>67</v>
      </c>
      <c r="F19" s="671"/>
      <c r="G19" s="671"/>
      <c r="H19" s="671"/>
      <c r="I19" s="134" t="s">
        <v>66</v>
      </c>
      <c r="J19" s="135"/>
      <c r="K19" s="676" t="s">
        <v>64</v>
      </c>
      <c r="L19" s="676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Table'!$H$522</f>
        <v>36479556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Table'!AA534</f>
        <v>625057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23319</v>
      </c>
      <c r="J22" s="116"/>
      <c r="K22" s="127"/>
      <c r="L22" s="238">
        <v>23325</v>
      </c>
      <c r="M22" s="127"/>
      <c r="N22" s="147">
        <f>+(I22-L22)/I22</f>
        <v>-2.5730091341824265E-4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35831180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Table'!AP534</f>
        <v>30493550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72" t="s">
        <v>47</v>
      </c>
      <c r="E25" s="673"/>
      <c r="F25" s="673"/>
      <c r="G25" s="673"/>
      <c r="H25" s="673"/>
      <c r="I25" s="119">
        <f>+I23-I24</f>
        <v>5337630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30493550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72" t="s">
        <v>44</v>
      </c>
      <c r="E27" s="673"/>
      <c r="F27" s="673"/>
      <c r="G27" s="673"/>
      <c r="H27" s="673"/>
      <c r="I27" s="136">
        <f>+I25+I26</f>
        <v>35831180</v>
      </c>
      <c r="J27" s="116"/>
      <c r="K27" s="677">
        <v>35760426</v>
      </c>
      <c r="L27" s="677"/>
      <c r="M27" s="127"/>
      <c r="N27" s="137">
        <f>+I27-K27</f>
        <v>70754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74" t="s">
        <v>61</v>
      </c>
      <c r="F28" s="674"/>
      <c r="G28" s="674"/>
      <c r="H28" s="124"/>
      <c r="I28" s="232">
        <f>+I27/I32</f>
        <v>0.95634359207371811</v>
      </c>
      <c r="J28" s="127"/>
      <c r="K28" s="127"/>
      <c r="L28" s="127"/>
      <c r="M28" s="98"/>
      <c r="N28" s="463">
        <f>+N27/K27</f>
        <v>1.9785558483000174E-3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83" t="s">
        <v>101</v>
      </c>
      <c r="F31" s="684"/>
      <c r="G31" s="684"/>
      <c r="H31" s="684"/>
      <c r="I31" s="684"/>
      <c r="J31" s="685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78">
        <f>+'Main Table'!H534</f>
        <v>37466848</v>
      </c>
      <c r="J32" s="678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79">
        <f>+I27</f>
        <v>35831180</v>
      </c>
      <c r="J34" s="680"/>
      <c r="K34" s="22"/>
      <c r="L34" s="25">
        <f>+I34/$I$32</f>
        <v>0.95634359207371811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86">
        <f>+I21</f>
        <v>625057</v>
      </c>
      <c r="J35" s="687"/>
      <c r="K35" s="22"/>
      <c r="L35" s="25">
        <f>+I35/$I$32</f>
        <v>1.6682935271202959E-2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75" t="s">
        <v>101</v>
      </c>
      <c r="F36" s="675"/>
      <c r="G36" s="675"/>
      <c r="H36" s="233"/>
      <c r="I36" s="681">
        <f>+I32-I34-I35</f>
        <v>1010611</v>
      </c>
      <c r="J36" s="682"/>
      <c r="K36" s="259"/>
      <c r="L36" s="234">
        <f>+I36/$I$32</f>
        <v>2.6973472655078965E-2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63" t="s">
        <v>114</v>
      </c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66" t="s">
        <v>67</v>
      </c>
      <c r="F42" s="666"/>
      <c r="G42" s="666"/>
      <c r="H42" s="666"/>
      <c r="I42" s="260" t="s">
        <v>66</v>
      </c>
      <c r="J42" s="261"/>
      <c r="K42" s="667" t="s">
        <v>35</v>
      </c>
      <c r="L42" s="667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Table'!AP552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9" t="s">
        <v>47</v>
      </c>
      <c r="E48" s="690"/>
      <c r="F48" s="690"/>
      <c r="G48" s="690"/>
      <c r="H48" s="690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9" t="s">
        <v>44</v>
      </c>
      <c r="E50" s="690"/>
      <c r="F50" s="690"/>
      <c r="G50" s="690"/>
      <c r="H50" s="690"/>
      <c r="I50" s="340">
        <f>+I48+I49</f>
        <v>22172</v>
      </c>
      <c r="J50" s="336"/>
      <c r="K50" s="691">
        <v>30167</v>
      </c>
      <c r="L50" s="691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2" t="s">
        <v>61</v>
      </c>
      <c r="F51" s="692"/>
      <c r="G51" s="692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55" t="s">
        <v>115</v>
      </c>
      <c r="F54" s="656"/>
      <c r="G54" s="656"/>
      <c r="H54" s="656"/>
      <c r="I54" s="656"/>
      <c r="J54" s="657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3">
        <f>+K50</f>
        <v>30167</v>
      </c>
      <c r="J55" s="693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4">
        <f>+I50</f>
        <v>22172</v>
      </c>
      <c r="J57" s="695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6">
        <f>+I44</f>
        <v>1836</v>
      </c>
      <c r="J58" s="697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8" t="s">
        <v>101</v>
      </c>
      <c r="F59" s="698"/>
      <c r="G59" s="698"/>
      <c r="H59" s="267"/>
      <c r="I59" s="658">
        <f>+I55-I57-I58</f>
        <v>6159</v>
      </c>
      <c r="J59" s="699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0">
        <f>+I45</f>
        <v>1397</v>
      </c>
      <c r="J60" s="700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58">
        <f>+I59-I60</f>
        <v>4762</v>
      </c>
      <c r="J61" s="658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55" t="s">
        <v>104</v>
      </c>
      <c r="F64" s="656"/>
      <c r="G64" s="656"/>
      <c r="H64" s="656"/>
      <c r="I64" s="656"/>
      <c r="J64" s="656"/>
      <c r="K64" s="656"/>
      <c r="L64" s="656"/>
      <c r="M64" s="657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8">
        <v>11690000</v>
      </c>
      <c r="J65" s="688"/>
      <c r="K65" s="688"/>
      <c r="L65" s="688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54" t="s">
        <v>95</v>
      </c>
      <c r="G67" s="65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17" t="s">
        <v>118</v>
      </c>
      <c r="E72" s="718"/>
      <c r="F72" s="718"/>
      <c r="G72" s="718"/>
      <c r="H72" s="718"/>
      <c r="I72" s="718"/>
      <c r="J72" s="718"/>
      <c r="K72" s="718"/>
      <c r="L72" s="718"/>
      <c r="M72" s="718"/>
      <c r="N72" s="718"/>
      <c r="O72" s="719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0" t="s">
        <v>67</v>
      </c>
      <c r="F73" s="720"/>
      <c r="G73" s="720"/>
      <c r="H73" s="720"/>
      <c r="I73" s="355" t="s">
        <v>66</v>
      </c>
      <c r="J73" s="356"/>
      <c r="K73" s="721" t="s">
        <v>35</v>
      </c>
      <c r="L73" s="721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Table'!AP593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22" t="s">
        <v>47</v>
      </c>
      <c r="E79" s="723"/>
      <c r="F79" s="723"/>
      <c r="G79" s="723"/>
      <c r="H79" s="723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22" t="s">
        <v>44</v>
      </c>
      <c r="E81" s="723"/>
      <c r="F81" s="723"/>
      <c r="G81" s="723"/>
      <c r="H81" s="723"/>
      <c r="I81" s="370">
        <f>+I79+I80</f>
        <v>36684</v>
      </c>
      <c r="J81" s="363"/>
      <c r="K81" s="725">
        <v>48675</v>
      </c>
      <c r="L81" s="725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24" t="s">
        <v>61</v>
      </c>
      <c r="F82" s="724"/>
      <c r="G82" s="724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2.6973472655078965E-2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2.6973472655078965E-2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2.6973472655078965E-2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2.6973472655078965E-2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ref="AA416" si="43">+W415-W416</f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ref="AA417" si="44">+W416-W417</f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ref="AA418" si="45">+W417-W418</f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ref="AA419" si="46">+W418-W419</f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ref="AA420" si="47">+W419-W420</f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ref="AA421" si="48">+W420-W421</f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ref="AA422" si="49">+W421-W422</f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ref="AA423" si="50">+W422-W423</f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ref="AA424" si="51">+W423-W424</f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ref="AA425" si="52">+W424-W425</f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ref="AA426" si="53">+W425-W426</f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" si="54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ref="AA428" si="55">+W427-W428</f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ref="AA429" si="56">+W428-W429</f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ref="AA430" si="57">+W429-W430</f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ref="AA431" si="58">+W430-W431</f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ref="AA432" si="59">+W431-W432</f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ref="AA433" si="60">+W432-W433</f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ref="AA434" si="61">+W433-W434</f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ref="AA435" si="62">+W434-W435</f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ref="AA436" si="63">+W435-W436</f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ref="AA437" si="64">+W436-W437</f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ref="AA438" si="65">+W437-W438</f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ref="AA439" si="66">+W438-W439</f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ref="AA440" si="67">+W439-W440</f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ref="AA441" si="68">+W440-W441</f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ref="AA442" si="69">+W441-W442</f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ref="AA443" si="70">+W442-W443</f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ref="AA444" si="71">+W443-W444</f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ref="AA445" si="72">+W444-W445</f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ref="AA446" si="73">+W445-W446</f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ref="AA447" si="74">+W446-W447</f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ref="AA448" si="75">+W447-W448</f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ref="AA449" si="76">+W448-W449</f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ref="AA450" si="77">+W449-W450</f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ref="AA451" si="78">+W450-W451</f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ref="AA452" si="79">+W451-W452</f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ref="AA453" si="80">+W452-W453</f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ref="AA454" si="81">+W453-W454</f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ref="AA455" si="82">+W454-W455</f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ref="AA456" si="83">+W455-W456</f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ref="AA457" si="84">+W456-W457</f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ref="AA458" si="85">+W457-W458</f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" si="86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ref="AA460" si="87">+W459-W460</f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ref="AA461" si="88">+W460-W461</f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ref="AA462" si="89">+W461-W462</f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ref="AA463" si="90">+W462-W463</f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ref="AA464" si="91">+W463-W464</f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ref="AA465" si="92">+W464-W465</f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ref="AA466" si="93">+W465-W466</f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ref="AA467" si="94">+W466-W467</f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ref="AA468" si="95">+W467-W468</f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ref="AA469" si="96">+W468-W469</f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ref="AA470" si="97">+W469-W470</f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ref="AA471" si="98">+W470-W471</f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ref="AA472" si="99">+W471-W472</f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ref="AA473" si="100">+W472-W473</f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490" si="101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ref="AA474" si="102">+W473-W474</f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101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ref="AA475" si="103">+W474-W475</f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101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ref="AA476" si="104">+W475-W476</f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101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ref="AA477" si="105">+W476-W477</f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101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ref="AA478" si="106">+W477-W478</f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101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ref="AA479" si="107">+W478-W479</f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101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ref="AA480" si="108">+W479-W480</f>
        <v>-42316</v>
      </c>
      <c r="AB480" s="6"/>
      <c r="AC480" s="258"/>
      <c r="AD480" s="251"/>
      <c r="AE480" s="61"/>
    </row>
    <row r="481" spans="5:31" x14ac:dyDescent="0.3">
      <c r="O481" s="98"/>
      <c r="T481" s="250"/>
      <c r="U481" s="252">
        <f t="shared" si="101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ref="AA481" si="109">+W480-W481</f>
        <v>-57145</v>
      </c>
      <c r="AB481" s="6"/>
      <c r="AC481" s="258"/>
      <c r="AD481" s="251"/>
      <c r="AE481" s="61"/>
    </row>
    <row r="482" spans="5:31" x14ac:dyDescent="0.3">
      <c r="O482" s="98"/>
      <c r="T482" s="250"/>
      <c r="U482" s="252">
        <f t="shared" si="101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ref="AA482" si="110">+W481-W482</f>
        <v>-10479</v>
      </c>
      <c r="AB482" s="6"/>
      <c r="AC482" s="258"/>
      <c r="AD482" s="251"/>
      <c r="AE482" s="61"/>
    </row>
    <row r="483" spans="5:31" x14ac:dyDescent="0.3">
      <c r="O483" s="98"/>
      <c r="T483" s="250"/>
      <c r="U483" s="252">
        <f t="shared" si="101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ref="AA483" si="111">+W482-W483</f>
        <v>-7809</v>
      </c>
      <c r="AB483" s="6"/>
      <c r="AC483" s="258"/>
      <c r="AD483" s="251"/>
      <c r="AE483" s="61"/>
    </row>
    <row r="484" spans="5:31" x14ac:dyDescent="0.3">
      <c r="O484" s="98"/>
      <c r="T484" s="250"/>
      <c r="U484" s="252">
        <f t="shared" si="101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ref="AA484" si="112">+W483-W484</f>
        <v>8458</v>
      </c>
      <c r="AB484" s="6"/>
      <c r="AC484" s="258"/>
      <c r="AD484" s="251"/>
      <c r="AE484" s="61"/>
    </row>
    <row r="485" spans="5:31" x14ac:dyDescent="0.3">
      <c r="O485" s="98"/>
      <c r="T485" s="250"/>
      <c r="U485" s="573">
        <f t="shared" si="101"/>
        <v>44430</v>
      </c>
      <c r="V485" s="6"/>
      <c r="W485" s="253">
        <f>+I$36</f>
        <v>1010611</v>
      </c>
      <c r="X485" s="6"/>
      <c r="Y485" s="44">
        <v>3.0000000000000001E-3</v>
      </c>
      <c r="Z485" s="6"/>
      <c r="AA485" s="254">
        <f t="shared" ref="AA485" si="113">+W484-W485</f>
        <v>-28042</v>
      </c>
      <c r="AB485" s="6"/>
      <c r="AC485" s="258"/>
      <c r="AD485" s="251"/>
      <c r="AE485" s="61"/>
    </row>
    <row r="486" spans="5:31" x14ac:dyDescent="0.3">
      <c r="O486" s="98"/>
      <c r="T486" s="250"/>
      <c r="U486" s="252">
        <f t="shared" si="101"/>
        <v>44431</v>
      </c>
      <c r="V486" s="6"/>
      <c r="W486" s="253"/>
      <c r="X486" s="6"/>
      <c r="Y486" s="44"/>
      <c r="Z486" s="6"/>
      <c r="AA486" s="254"/>
      <c r="AB486" s="6"/>
      <c r="AC486" s="258"/>
      <c r="AD486" s="251"/>
      <c r="AE486" s="61"/>
    </row>
    <row r="487" spans="5:31" x14ac:dyDescent="0.3">
      <c r="O487" s="98"/>
      <c r="T487" s="250"/>
      <c r="U487" s="252">
        <f t="shared" si="101"/>
        <v>44432</v>
      </c>
      <c r="V487" s="6"/>
      <c r="W487" s="253"/>
      <c r="X487" s="6"/>
      <c r="Y487" s="44"/>
      <c r="Z487" s="6"/>
      <c r="AA487" s="254"/>
      <c r="AB487" s="6"/>
      <c r="AC487" s="258"/>
      <c r="AD487" s="251"/>
      <c r="AE487" s="61"/>
    </row>
    <row r="488" spans="5:31" x14ac:dyDescent="0.3">
      <c r="O488" s="98"/>
      <c r="T488" s="250"/>
      <c r="U488" s="252">
        <f t="shared" si="101"/>
        <v>44433</v>
      </c>
      <c r="V488" s="6"/>
      <c r="W488" s="253"/>
      <c r="X488" s="6"/>
      <c r="Y488" s="44"/>
      <c r="Z488" s="6"/>
      <c r="AA488" s="254"/>
      <c r="AB488" s="6"/>
      <c r="AC488" s="258"/>
      <c r="AD488" s="251"/>
      <c r="AE488" s="61"/>
    </row>
    <row r="489" spans="5:31" x14ac:dyDescent="0.3">
      <c r="O489" s="98"/>
      <c r="T489" s="250"/>
      <c r="U489" s="252">
        <f t="shared" si="101"/>
        <v>44434</v>
      </c>
      <c r="V489" s="6"/>
      <c r="W489" s="253"/>
      <c r="X489" s="6"/>
      <c r="Y489" s="44"/>
      <c r="Z489" s="6"/>
      <c r="AA489" s="254"/>
      <c r="AB489" s="6"/>
      <c r="AC489" s="258"/>
      <c r="AD489" s="251"/>
    </row>
    <row r="490" spans="5:31" ht="15" thickBot="1" x14ac:dyDescent="0.35">
      <c r="O490" s="98"/>
      <c r="T490" s="255"/>
      <c r="U490" s="350">
        <f t="shared" si="101"/>
        <v>44435</v>
      </c>
      <c r="V490" s="247"/>
      <c r="W490" s="351"/>
      <c r="X490" s="247"/>
      <c r="Y490" s="256"/>
      <c r="Z490" s="247"/>
      <c r="AA490" s="352"/>
      <c r="AB490" s="247"/>
      <c r="AC490" s="353"/>
      <c r="AD490" s="257"/>
    </row>
    <row r="491" spans="5:31" x14ac:dyDescent="0.3">
      <c r="O491" s="98"/>
    </row>
    <row r="492" spans="5:31" x14ac:dyDescent="0.3">
      <c r="O492" s="98"/>
      <c r="P492" s="57"/>
      <c r="Q492" s="57"/>
      <c r="R492" s="57"/>
    </row>
    <row r="493" spans="5:31" x14ac:dyDescent="0.3">
      <c r="O493" s="98"/>
    </row>
    <row r="494" spans="5:31" ht="15" thickBot="1" x14ac:dyDescent="0.35">
      <c r="O494" s="98"/>
    </row>
    <row r="495" spans="5:31" ht="15.6" thickTop="1" thickBot="1" x14ac:dyDescent="0.35">
      <c r="Q495" s="441"/>
      <c r="R495" s="442"/>
      <c r="S495" s="442"/>
      <c r="T495" s="442"/>
      <c r="U495" s="442"/>
      <c r="V495" s="442"/>
      <c r="W495" s="442"/>
      <c r="X495" s="442"/>
      <c r="Y495" s="442"/>
      <c r="Z495" s="442"/>
      <c r="AA495" s="442"/>
      <c r="AB495" s="443"/>
    </row>
    <row r="496" spans="5:31" ht="15" thickBot="1" x14ac:dyDescent="0.35">
      <c r="E496" s="704" t="s">
        <v>106</v>
      </c>
      <c r="F496" s="705"/>
      <c r="G496" s="705"/>
      <c r="H496" s="705"/>
      <c r="I496" s="705"/>
      <c r="J496" s="705"/>
      <c r="K496" s="705"/>
      <c r="L496" s="705"/>
      <c r="M496" s="706"/>
      <c r="Q496" s="444"/>
      <c r="R496" s="6"/>
      <c r="S496" s="6"/>
      <c r="T496" s="6"/>
      <c r="U496" s="5" t="s">
        <v>132</v>
      </c>
      <c r="V496" s="5"/>
      <c r="W496" s="5"/>
      <c r="X496" s="5"/>
      <c r="Y496" s="5"/>
      <c r="Z496" s="5"/>
      <c r="AA496" s="5" t="s">
        <v>28</v>
      </c>
      <c r="AB496" s="445"/>
    </row>
    <row r="497" spans="4:36" x14ac:dyDescent="0.3">
      <c r="E497" s="395"/>
      <c r="F497" s="396" t="s">
        <v>107</v>
      </c>
      <c r="G497" s="396"/>
      <c r="H497" s="396"/>
      <c r="I497" s="707">
        <v>21477737</v>
      </c>
      <c r="J497" s="707"/>
      <c r="K497" s="707"/>
      <c r="L497" s="707"/>
      <c r="M497" s="397"/>
      <c r="Q497" s="444"/>
      <c r="R497" s="437" t="s">
        <v>134</v>
      </c>
      <c r="S497" s="6"/>
      <c r="T497" s="6"/>
      <c r="U497" s="437" t="s">
        <v>133</v>
      </c>
      <c r="V497" s="5"/>
      <c r="W497" s="437" t="s">
        <v>20</v>
      </c>
      <c r="X497" s="5"/>
      <c r="Y497" s="437" t="s">
        <v>4</v>
      </c>
      <c r="Z497" s="5"/>
      <c r="AA497" s="446" t="s">
        <v>131</v>
      </c>
      <c r="AB497" s="445"/>
    </row>
    <row r="498" spans="4:36" x14ac:dyDescent="0.3">
      <c r="E498" s="395"/>
      <c r="F498" s="396" t="s">
        <v>97</v>
      </c>
      <c r="G498" s="396"/>
      <c r="H498" s="396"/>
      <c r="I498" s="396"/>
      <c r="J498" s="396"/>
      <c r="K498" s="396"/>
      <c r="L498" s="398">
        <f>+I510/I497</f>
        <v>4.5847474526762295E-4</v>
      </c>
      <c r="M498" s="397"/>
      <c r="Q498" s="444"/>
      <c r="R498" s="6" t="s">
        <v>121</v>
      </c>
      <c r="S498" s="6"/>
      <c r="T498" s="6"/>
      <c r="U498" s="7">
        <v>2003</v>
      </c>
      <c r="V498" s="6"/>
      <c r="W498" s="7">
        <v>389666</v>
      </c>
      <c r="X498" s="6"/>
      <c r="Y498" s="7">
        <v>31257</v>
      </c>
      <c r="Z498" s="6"/>
      <c r="AA498" s="253">
        <f>+AJ498</f>
        <v>19500</v>
      </c>
      <c r="AB498" s="445"/>
      <c r="AJ498" s="1">
        <v>19500</v>
      </c>
    </row>
    <row r="499" spans="4:36" x14ac:dyDescent="0.3">
      <c r="E499" s="395"/>
      <c r="F499" s="708" t="s">
        <v>95</v>
      </c>
      <c r="G499" s="708"/>
      <c r="H499" s="396"/>
      <c r="I499" s="396"/>
      <c r="J499" s="396"/>
      <c r="K499" s="396"/>
      <c r="L499" s="399">
        <f>+I510/(I497/100000)</f>
        <v>45.847474526762298</v>
      </c>
      <c r="M499" s="397"/>
      <c r="Q499" s="444"/>
      <c r="R499" s="6" t="s">
        <v>122</v>
      </c>
      <c r="S499" s="6"/>
      <c r="T499" s="6"/>
      <c r="U499" s="7">
        <v>1913</v>
      </c>
      <c r="V499" s="6"/>
      <c r="W499" s="7">
        <v>169892</v>
      </c>
      <c r="X499" s="6"/>
      <c r="Y499" s="7">
        <v>13076</v>
      </c>
      <c r="Z499" s="6"/>
      <c r="AA499" s="253">
        <f t="shared" ref="AA499:AA507" si="114">+AJ499</f>
        <v>8900</v>
      </c>
      <c r="AB499" s="445"/>
      <c r="AJ499" s="1">
        <v>8900</v>
      </c>
    </row>
    <row r="500" spans="4:36" x14ac:dyDescent="0.3">
      <c r="E500" s="395"/>
      <c r="F500" s="400"/>
      <c r="G500" s="400"/>
      <c r="H500" s="396"/>
      <c r="I500" s="396"/>
      <c r="J500" s="396"/>
      <c r="K500" s="396"/>
      <c r="L500" s="399"/>
      <c r="M500" s="397"/>
      <c r="Q500" s="444"/>
      <c r="R500" s="6" t="s">
        <v>123</v>
      </c>
      <c r="S500" s="6"/>
      <c r="T500" s="6"/>
      <c r="U500" s="7">
        <v>1568</v>
      </c>
      <c r="V500" s="6"/>
      <c r="W500" s="7">
        <v>16606</v>
      </c>
      <c r="X500" s="6"/>
      <c r="Y500" s="7">
        <v>912</v>
      </c>
      <c r="Z500" s="6"/>
      <c r="AA500" s="253">
        <f t="shared" si="114"/>
        <v>1100</v>
      </c>
      <c r="AB500" s="445"/>
      <c r="AJ500" s="1">
        <v>1100</v>
      </c>
    </row>
    <row r="501" spans="4:36" x14ac:dyDescent="0.3">
      <c r="E501" s="395"/>
      <c r="F501" s="400" t="s">
        <v>108</v>
      </c>
      <c r="G501" s="400"/>
      <c r="H501" s="708" t="s">
        <v>109</v>
      </c>
      <c r="I501" s="708"/>
      <c r="J501" s="396"/>
      <c r="K501" s="396"/>
      <c r="L501" s="399"/>
      <c r="M501" s="397"/>
      <c r="Q501" s="444"/>
      <c r="R501" s="6" t="s">
        <v>56</v>
      </c>
      <c r="S501" s="6"/>
      <c r="T501" s="6"/>
      <c r="U501" s="7">
        <v>1561</v>
      </c>
      <c r="V501" s="6"/>
      <c r="W501" s="7">
        <v>107611</v>
      </c>
      <c r="X501" s="6"/>
      <c r="Y501" s="7">
        <v>7937</v>
      </c>
      <c r="Z501" s="6"/>
      <c r="AA501" s="253">
        <f t="shared" si="114"/>
        <v>7000</v>
      </c>
      <c r="AB501" s="445"/>
      <c r="AJ501" s="1">
        <v>7000</v>
      </c>
    </row>
    <row r="502" spans="4:36" ht="15" thickBot="1" x14ac:dyDescent="0.35">
      <c r="E502" s="401"/>
      <c r="F502" s="402"/>
      <c r="G502" s="402"/>
      <c r="H502" s="402"/>
      <c r="I502" s="402"/>
      <c r="J502" s="402"/>
      <c r="K502" s="402"/>
      <c r="L502" s="402"/>
      <c r="M502" s="403"/>
      <c r="Q502" s="444"/>
      <c r="R502" s="6" t="s">
        <v>128</v>
      </c>
      <c r="S502" s="6"/>
      <c r="T502" s="6"/>
      <c r="U502" s="7">
        <v>1435</v>
      </c>
      <c r="V502" s="6"/>
      <c r="W502" s="7">
        <v>10128</v>
      </c>
      <c r="X502" s="6"/>
      <c r="Y502" s="7">
        <v>541</v>
      </c>
      <c r="Z502" s="6"/>
      <c r="AA502" s="253">
        <f t="shared" si="114"/>
        <v>700</v>
      </c>
      <c r="AB502" s="445"/>
      <c r="AJ502" s="1">
        <v>700</v>
      </c>
    </row>
    <row r="503" spans="4:36" x14ac:dyDescent="0.3">
      <c r="Q503" s="444"/>
      <c r="R503" s="6" t="s">
        <v>124</v>
      </c>
      <c r="S503" s="6"/>
      <c r="T503" s="6"/>
      <c r="U503" s="7">
        <v>1288</v>
      </c>
      <c r="V503" s="6"/>
      <c r="W503" s="7">
        <v>45913</v>
      </c>
      <c r="X503" s="6"/>
      <c r="Y503" s="7">
        <v>4287</v>
      </c>
      <c r="Z503" s="6"/>
      <c r="AA503" s="253">
        <f t="shared" si="114"/>
        <v>3600</v>
      </c>
      <c r="AB503" s="445"/>
      <c r="AJ503" s="1">
        <v>3600</v>
      </c>
    </row>
    <row r="504" spans="4:36" ht="15" thickBot="1" x14ac:dyDescent="0.35">
      <c r="D504" s="78"/>
      <c r="E504" s="139"/>
      <c r="F504" s="139"/>
      <c r="G504" s="139"/>
      <c r="H504" s="139"/>
      <c r="I504" s="310"/>
      <c r="J504" s="78"/>
      <c r="K504" s="98"/>
      <c r="L504" s="98"/>
      <c r="M504" s="98"/>
      <c r="N504" s="98"/>
      <c r="Q504" s="444"/>
      <c r="R504" s="6" t="s">
        <v>129</v>
      </c>
      <c r="S504" s="6"/>
      <c r="T504" s="6"/>
      <c r="U504" s="7">
        <v>1129</v>
      </c>
      <c r="V504" s="6"/>
      <c r="W504" s="7">
        <v>52477</v>
      </c>
      <c r="X504" s="6"/>
      <c r="Y504" s="7">
        <v>3152</v>
      </c>
      <c r="Z504" s="6"/>
      <c r="AA504" s="253">
        <f t="shared" si="114"/>
        <v>4600</v>
      </c>
      <c r="AB504" s="445"/>
      <c r="AJ504" s="1">
        <v>4600</v>
      </c>
    </row>
    <row r="505" spans="4:36" ht="16.2" thickBot="1" x14ac:dyDescent="0.35">
      <c r="D505" s="381"/>
      <c r="E505" s="709" t="s">
        <v>119</v>
      </c>
      <c r="F505" s="710"/>
      <c r="G505" s="710"/>
      <c r="H505" s="710"/>
      <c r="I505" s="710"/>
      <c r="J505" s="711"/>
      <c r="K505" s="382"/>
      <c r="L505" s="394" t="s">
        <v>10</v>
      </c>
      <c r="M505" s="383"/>
      <c r="N505" s="98"/>
      <c r="Q505" s="444"/>
      <c r="R505" s="6" t="s">
        <v>125</v>
      </c>
      <c r="S505" s="6"/>
      <c r="T505" s="6"/>
      <c r="U505" s="7">
        <v>1118</v>
      </c>
      <c r="V505" s="6"/>
      <c r="W505" s="7">
        <v>10889</v>
      </c>
      <c r="X505" s="6"/>
      <c r="Y505" s="7">
        <v>505</v>
      </c>
      <c r="Z505" s="6"/>
      <c r="AA505" s="253">
        <f t="shared" si="114"/>
        <v>980</v>
      </c>
      <c r="AB505" s="445"/>
      <c r="AJ505" s="1">
        <v>980</v>
      </c>
    </row>
    <row r="506" spans="4:36" x14ac:dyDescent="0.3">
      <c r="D506" s="360"/>
      <c r="E506" s="384" t="s">
        <v>75</v>
      </c>
      <c r="F506" s="16"/>
      <c r="G506" s="16"/>
      <c r="H506" s="16"/>
      <c r="I506" s="712">
        <f>+K81</f>
        <v>48675</v>
      </c>
      <c r="J506" s="712"/>
      <c r="K506" s="16"/>
      <c r="L506" s="60">
        <f>+I506/$I$506</f>
        <v>1</v>
      </c>
      <c r="M506" s="385"/>
      <c r="N506" s="98"/>
      <c r="Q506" s="444"/>
      <c r="R506" s="6" t="s">
        <v>126</v>
      </c>
      <c r="S506" s="6"/>
      <c r="T506" s="6"/>
      <c r="U506" s="7">
        <v>1093</v>
      </c>
      <c r="V506" s="6"/>
      <c r="W506" s="7">
        <v>138546</v>
      </c>
      <c r="X506" s="6"/>
      <c r="Y506" s="7">
        <v>6770</v>
      </c>
      <c r="Z506" s="6"/>
      <c r="AA506" s="253">
        <f t="shared" si="114"/>
        <v>12700</v>
      </c>
      <c r="AB506" s="445"/>
      <c r="AJ506" s="1">
        <v>12700</v>
      </c>
    </row>
    <row r="507" spans="4:36" x14ac:dyDescent="0.3">
      <c r="D507" s="360"/>
      <c r="E507" s="384"/>
      <c r="F507" s="16"/>
      <c r="G507" s="16"/>
      <c r="H507" s="16"/>
      <c r="I507" s="16"/>
      <c r="J507" s="16"/>
      <c r="K507" s="16"/>
      <c r="L507" s="16"/>
      <c r="M507" s="385"/>
      <c r="N507" s="98"/>
      <c r="Q507" s="444"/>
      <c r="R507" s="6" t="s">
        <v>127</v>
      </c>
      <c r="S507" s="6"/>
      <c r="T507" s="6"/>
      <c r="U507" s="447">
        <v>1081</v>
      </c>
      <c r="V507" s="6"/>
      <c r="W507" s="447">
        <v>65337</v>
      </c>
      <c r="X507" s="6"/>
      <c r="Y507" s="447">
        <v>3108</v>
      </c>
      <c r="Z507" s="6"/>
      <c r="AA507" s="448">
        <f t="shared" si="114"/>
        <v>6100</v>
      </c>
      <c r="AB507" s="445"/>
      <c r="AJ507" s="439">
        <v>6100</v>
      </c>
    </row>
    <row r="508" spans="4:36" x14ac:dyDescent="0.3">
      <c r="D508" s="372"/>
      <c r="E508" s="15"/>
      <c r="F508" s="386" t="s">
        <v>100</v>
      </c>
      <c r="G508" s="386"/>
      <c r="H508" s="15"/>
      <c r="I508" s="713">
        <f>+I81</f>
        <v>36684</v>
      </c>
      <c r="J508" s="714"/>
      <c r="K508" s="15"/>
      <c r="L508" s="60">
        <f>+I508/$I$506</f>
        <v>0.75365177195685673</v>
      </c>
      <c r="M508" s="365"/>
      <c r="N508" s="98"/>
      <c r="Q508" s="444"/>
      <c r="R508" s="5" t="s">
        <v>31</v>
      </c>
      <c r="S508" s="6"/>
      <c r="T508" s="6"/>
      <c r="U508" s="253">
        <f>+W508/(AA508/100)</f>
        <v>1545.0521632402579</v>
      </c>
      <c r="V508" s="6"/>
      <c r="W508" s="253">
        <f>SUM(W498:W507)</f>
        <v>1007065</v>
      </c>
      <c r="X508" s="6"/>
      <c r="Y508" s="253">
        <f>SUM(Y498:Y507)</f>
        <v>71545</v>
      </c>
      <c r="Z508" s="6"/>
      <c r="AA508" s="253">
        <f>SUM(AA498:AA507)</f>
        <v>65180</v>
      </c>
      <c r="AB508" s="445"/>
      <c r="AJ508" s="56">
        <f>SUM(AJ498:AJ507)</f>
        <v>65180</v>
      </c>
    </row>
    <row r="509" spans="4:36" x14ac:dyDescent="0.3">
      <c r="D509" s="372"/>
      <c r="E509" s="15"/>
      <c r="F509" s="15" t="s">
        <v>76</v>
      </c>
      <c r="G509" s="15"/>
      <c r="H509" s="15"/>
      <c r="I509" s="715">
        <f>+I75</f>
        <v>2144</v>
      </c>
      <c r="J509" s="716"/>
      <c r="K509" s="15"/>
      <c r="L509" s="60">
        <f>+I509/$I$506</f>
        <v>4.4047252182845401E-2</v>
      </c>
      <c r="M509" s="365"/>
      <c r="N509" s="98"/>
      <c r="Q509" s="444"/>
      <c r="R509" s="5"/>
      <c r="S509" s="6"/>
      <c r="T509" s="6"/>
      <c r="U509" s="6"/>
      <c r="V509" s="6"/>
      <c r="W509" s="253"/>
      <c r="X509" s="6"/>
      <c r="Y509" s="253"/>
      <c r="Z509" s="6"/>
      <c r="AA509" s="6"/>
      <c r="AB509" s="445"/>
      <c r="AJ509" s="56"/>
    </row>
    <row r="510" spans="4:36" ht="15" thickBot="1" x14ac:dyDescent="0.35">
      <c r="D510" s="372"/>
      <c r="E510" s="701" t="s">
        <v>101</v>
      </c>
      <c r="F510" s="701"/>
      <c r="G510" s="701"/>
      <c r="H510" s="15"/>
      <c r="I510" s="702">
        <f>+I506-I508-I509</f>
        <v>9847</v>
      </c>
      <c r="J510" s="703"/>
      <c r="K510" s="387"/>
      <c r="L510" s="388">
        <f>+I510/$I$506</f>
        <v>0.20230097586029788</v>
      </c>
      <c r="M510" s="365"/>
      <c r="N510" s="98"/>
      <c r="Q510" s="444"/>
      <c r="R510" s="5" t="s">
        <v>57</v>
      </c>
      <c r="S510" s="6"/>
      <c r="T510" s="6"/>
      <c r="U510" s="7">
        <v>7441</v>
      </c>
      <c r="V510" s="6"/>
      <c r="W510" s="7">
        <f>+'Main Table'!H106</f>
        <v>3029734</v>
      </c>
      <c r="X510" s="6"/>
      <c r="Y510" s="7">
        <f>+'Main Table'!AA106</f>
        <v>129682</v>
      </c>
      <c r="Z510" s="6"/>
      <c r="AA510" s="253">
        <f>+AJ510</f>
        <v>333000</v>
      </c>
      <c r="AB510" s="445"/>
      <c r="AJ510" s="56">
        <v>333000</v>
      </c>
    </row>
    <row r="511" spans="4:36" ht="15.6" thickTop="1" thickBot="1" x14ac:dyDescent="0.35">
      <c r="D511" s="372"/>
      <c r="E511" s="389"/>
      <c r="F511" s="389"/>
      <c r="G511" s="389"/>
      <c r="H511" s="15"/>
      <c r="I511" s="390"/>
      <c r="J511" s="389"/>
      <c r="K511" s="387"/>
      <c r="L511" s="391"/>
      <c r="M511" s="365"/>
      <c r="N511" s="98"/>
      <c r="Q511" s="444"/>
      <c r="R511" s="5" t="s">
        <v>130</v>
      </c>
      <c r="S511" s="6"/>
      <c r="T511" s="6"/>
      <c r="U511" s="449"/>
      <c r="V511" s="6"/>
      <c r="W511" s="450">
        <f>+W508/W510</f>
        <v>0.33239386692033029</v>
      </c>
      <c r="X511" s="6"/>
      <c r="Y511" s="450">
        <f>+Y508/Y510</f>
        <v>0.55169568637127742</v>
      </c>
      <c r="Z511" s="6"/>
      <c r="AA511" s="450">
        <f>+AA508/AA510</f>
        <v>0.19573573573573574</v>
      </c>
      <c r="AB511" s="445"/>
      <c r="AJ511" s="440">
        <f>+AJ508/AJ510</f>
        <v>0.19573573573573574</v>
      </c>
    </row>
    <row r="512" spans="4:36" ht="15.6" thickTop="1" thickBot="1" x14ac:dyDescent="0.35">
      <c r="D512" s="392"/>
      <c r="E512" s="393"/>
      <c r="F512" s="393"/>
      <c r="G512" s="393"/>
      <c r="H512" s="393"/>
      <c r="I512" s="393"/>
      <c r="J512" s="393"/>
      <c r="K512" s="393"/>
      <c r="L512" s="393"/>
      <c r="M512" s="380"/>
      <c r="N512" s="98"/>
      <c r="Q512" s="451"/>
      <c r="R512" s="452"/>
      <c r="S512" s="452"/>
      <c r="T512" s="452"/>
      <c r="U512" s="452"/>
      <c r="V512" s="452"/>
      <c r="W512" s="452"/>
      <c r="X512" s="452"/>
      <c r="Y512" s="452"/>
      <c r="Z512" s="452"/>
      <c r="AA512" s="452"/>
      <c r="AB512" s="453"/>
    </row>
    <row r="516" spans="6:23" x14ac:dyDescent="0.3">
      <c r="F516" s="1">
        <v>1248371</v>
      </c>
    </row>
    <row r="517" spans="6:23" x14ac:dyDescent="0.3">
      <c r="W517" s="1"/>
    </row>
    <row r="518" spans="6:23" x14ac:dyDescent="0.3">
      <c r="F518">
        <v>700</v>
      </c>
    </row>
    <row r="519" spans="6:23" x14ac:dyDescent="0.3">
      <c r="F519" s="76">
        <f>+F518/F516</f>
        <v>5.6073074430597954E-4</v>
      </c>
    </row>
    <row r="521" spans="6:23" x14ac:dyDescent="0.3">
      <c r="F521" s="1">
        <v>60000</v>
      </c>
    </row>
    <row r="522" spans="6:23" x14ac:dyDescent="0.3">
      <c r="F522">
        <f>+F519*F521</f>
        <v>33.643844658358773</v>
      </c>
    </row>
    <row r="524" spans="6:23" x14ac:dyDescent="0.3">
      <c r="F524" s="1">
        <v>331000000</v>
      </c>
    </row>
    <row r="525" spans="6:23" x14ac:dyDescent="0.3">
      <c r="F525" s="56">
        <f>+W86</f>
        <v>811067</v>
      </c>
    </row>
    <row r="526" spans="6:23" x14ac:dyDescent="0.3">
      <c r="F526" s="57">
        <f>+F525/F524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510:G510"/>
    <mergeCell ref="I510:J510"/>
    <mergeCell ref="E496:M496"/>
    <mergeCell ref="I497:L497"/>
    <mergeCell ref="F499:G499"/>
    <mergeCell ref="E505:J505"/>
    <mergeCell ref="I506:J506"/>
    <mergeCell ref="I508:J508"/>
    <mergeCell ref="I509:J509"/>
    <mergeCell ref="H501:I501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2021-08-24T02:29:31Z</dcterms:modified>
</cp:coreProperties>
</file>