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11F1AE2B-3214-4510-991E-7F1B619A7791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33" i="1" l="1"/>
  <c r="BA611" i="1"/>
  <c r="BT521" i="1"/>
  <c r="BL521" i="1"/>
  <c r="BH521" i="1"/>
  <c r="BF521" i="1"/>
  <c r="BD521" i="1"/>
  <c r="AZ521" i="1"/>
  <c r="AP521" i="1"/>
  <c r="AN521" i="1"/>
  <c r="AJ521" i="1"/>
  <c r="AF521" i="1"/>
  <c r="AB521" i="1"/>
  <c r="X521" i="1"/>
  <c r="T521" i="1"/>
  <c r="R521" i="1"/>
  <c r="P521" i="1"/>
  <c r="L521" i="1"/>
  <c r="BT520" i="1"/>
  <c r="BS520" i="1"/>
  <c r="BS521" i="1" s="1"/>
  <c r="BQ520" i="1"/>
  <c r="BQ521" i="1" s="1"/>
  <c r="BP520" i="1"/>
  <c r="BP521" i="1" s="1"/>
  <c r="BO520" i="1"/>
  <c r="BO521" i="1" s="1"/>
  <c r="BL520" i="1"/>
  <c r="BJ520" i="1"/>
  <c r="BJ521" i="1" s="1"/>
  <c r="BI520" i="1"/>
  <c r="BI521" i="1" s="1"/>
  <c r="BH520" i="1"/>
  <c r="BF520" i="1"/>
  <c r="BE520" i="1"/>
  <c r="BE521" i="1" s="1"/>
  <c r="BD520" i="1"/>
  <c r="BC520" i="1"/>
  <c r="BC521" i="1" s="1"/>
  <c r="BB520" i="1"/>
  <c r="BB521" i="1" s="1"/>
  <c r="AZ520" i="1"/>
  <c r="AY520" i="1"/>
  <c r="AY521" i="1" s="1"/>
  <c r="AW520" i="1"/>
  <c r="AW521" i="1" s="1"/>
  <c r="AU520" i="1"/>
  <c r="AU521" i="1" s="1"/>
  <c r="AT520" i="1"/>
  <c r="AT521" i="1" s="1"/>
  <c r="AS520" i="1"/>
  <c r="AS521" i="1" s="1"/>
  <c r="AQ520" i="1"/>
  <c r="AQ521" i="1" s="1"/>
  <c r="AP520" i="1"/>
  <c r="AO520" i="1"/>
  <c r="AO521" i="1" s="1"/>
  <c r="AN520" i="1"/>
  <c r="AM520" i="1"/>
  <c r="AM521" i="1" s="1"/>
  <c r="AK520" i="1"/>
  <c r="AK521" i="1" s="1"/>
  <c r="AJ520" i="1"/>
  <c r="AI520" i="1"/>
  <c r="AI521" i="1" s="1"/>
  <c r="AG520" i="1"/>
  <c r="AG521" i="1" s="1"/>
  <c r="AF520" i="1"/>
  <c r="AD520" i="1"/>
  <c r="AD521" i="1" s="1"/>
  <c r="AB520" i="1"/>
  <c r="Y520" i="1"/>
  <c r="Y521" i="1" s="1"/>
  <c r="X520" i="1"/>
  <c r="W520" i="1"/>
  <c r="W521" i="1" s="1"/>
  <c r="U520" i="1"/>
  <c r="U521" i="1" s="1"/>
  <c r="T520" i="1"/>
  <c r="R520" i="1"/>
  <c r="Q520" i="1"/>
  <c r="Q521" i="1" s="1"/>
  <c r="P520" i="1"/>
  <c r="N520" i="1"/>
  <c r="N521" i="1" s="1"/>
  <c r="M520" i="1"/>
  <c r="M521" i="1" s="1"/>
  <c r="L520" i="1"/>
  <c r="K520" i="1"/>
  <c r="K521" i="1" s="1"/>
  <c r="I520" i="1"/>
  <c r="I521" i="1" s="1"/>
  <c r="D520" i="1"/>
  <c r="D521" i="1" s="1"/>
  <c r="BW516" i="1"/>
  <c r="AX516" i="1" s="1"/>
  <c r="AX520" i="1" s="1"/>
  <c r="AX521" i="1" s="1"/>
  <c r="BK516" i="1"/>
  <c r="BK520" i="1" s="1"/>
  <c r="BK521" i="1" s="1"/>
  <c r="BE516" i="1"/>
  <c r="BP516" i="1" s="1"/>
  <c r="BR516" i="1" s="1"/>
  <c r="BR520" i="1" s="1"/>
  <c r="BR521" i="1" s="1"/>
  <c r="BA516" i="1"/>
  <c r="BA520" i="1" s="1"/>
  <c r="BA521" i="1" s="1"/>
  <c r="AL516" i="1"/>
  <c r="AR516" i="1" s="1"/>
  <c r="AR520" i="1" s="1"/>
  <c r="AR521" i="1" s="1"/>
  <c r="AG516" i="1"/>
  <c r="AI516" i="1" s="1"/>
  <c r="AA516" i="1"/>
  <c r="AA520" i="1" s="1"/>
  <c r="AA521" i="1" s="1"/>
  <c r="Z516" i="1"/>
  <c r="Z520" i="1" s="1"/>
  <c r="Z521" i="1" s="1"/>
  <c r="V516" i="1"/>
  <c r="Q516" i="1"/>
  <c r="BM516" i="1" s="1"/>
  <c r="BM520" i="1" s="1"/>
  <c r="BM521" i="1" s="1"/>
  <c r="N516" i="1"/>
  <c r="J516" i="1"/>
  <c r="J520" i="1" s="1"/>
  <c r="J521" i="1" s="1"/>
  <c r="H516" i="1"/>
  <c r="AV516" i="1" s="1"/>
  <c r="AV520" i="1" s="1"/>
  <c r="AV521" i="1" s="1"/>
  <c r="I20" i="3"/>
  <c r="BW515" i="1"/>
  <c r="BN515" i="1"/>
  <c r="BK515" i="1"/>
  <c r="BE515" i="1"/>
  <c r="BP515" i="1" s="1"/>
  <c r="BR515" i="1" s="1"/>
  <c r="BA515" i="1"/>
  <c r="AX515" i="1"/>
  <c r="AL515" i="1"/>
  <c r="AR515" i="1" s="1"/>
  <c r="AG515" i="1"/>
  <c r="AI515" i="1" s="1"/>
  <c r="AC515" i="1"/>
  <c r="AA515" i="1"/>
  <c r="AE515" i="1" s="1"/>
  <c r="Z515" i="1"/>
  <c r="V515" i="1"/>
  <c r="S515" i="1"/>
  <c r="Q515" i="1"/>
  <c r="N515" i="1"/>
  <c r="J515" i="1"/>
  <c r="H515" i="1"/>
  <c r="AV515" i="1" s="1"/>
  <c r="BW514" i="1"/>
  <c r="AX514" i="1" s="1"/>
  <c r="BE514" i="1"/>
  <c r="BP514" i="1" s="1"/>
  <c r="BR514" i="1" s="1"/>
  <c r="BA514" i="1"/>
  <c r="BK514" i="1" s="1"/>
  <c r="BM514" i="1" s="1"/>
  <c r="AL514" i="1"/>
  <c r="AR514" i="1" s="1"/>
  <c r="AG514" i="1"/>
  <c r="AI514" i="1" s="1"/>
  <c r="AE514" i="1"/>
  <c r="AA514" i="1"/>
  <c r="Z514" i="1"/>
  <c r="V514" i="1"/>
  <c r="S514" i="1"/>
  <c r="Q514" i="1"/>
  <c r="N514" i="1"/>
  <c r="J514" i="1"/>
  <c r="H514" i="1"/>
  <c r="AV514" i="1" s="1"/>
  <c r="BW513" i="1"/>
  <c r="AX513" i="1" s="1"/>
  <c r="BE513" i="1"/>
  <c r="BP513" i="1" s="1"/>
  <c r="BR513" i="1" s="1"/>
  <c r="BA513" i="1"/>
  <c r="BK513" i="1" s="1"/>
  <c r="BM513" i="1" s="1"/>
  <c r="AL513" i="1"/>
  <c r="AR513" i="1" s="1"/>
  <c r="AG513" i="1"/>
  <c r="AI513" i="1" s="1"/>
  <c r="AA513" i="1"/>
  <c r="Z513" i="1"/>
  <c r="V513" i="1"/>
  <c r="Q513" i="1"/>
  <c r="S513" i="1" s="1"/>
  <c r="N513" i="1"/>
  <c r="J513" i="1"/>
  <c r="H513" i="1"/>
  <c r="AV513" i="1" s="1"/>
  <c r="U468" i="3"/>
  <c r="U469" i="3" s="1"/>
  <c r="U470" i="3" s="1"/>
  <c r="U471" i="3" s="1"/>
  <c r="U472" i="3" s="1"/>
  <c r="B514" i="1"/>
  <c r="B515" i="1" s="1"/>
  <c r="B516" i="1" s="1"/>
  <c r="B517" i="1" s="1"/>
  <c r="B513" i="1"/>
  <c r="BE512" i="1"/>
  <c r="BA512" i="1"/>
  <c r="AL512" i="1"/>
  <c r="AR512" i="1" s="1"/>
  <c r="AG512" i="1"/>
  <c r="AI512" i="1" s="1"/>
  <c r="Z512" i="1"/>
  <c r="Q512" i="1"/>
  <c r="N512" i="1"/>
  <c r="BE511" i="1"/>
  <c r="BA511" i="1"/>
  <c r="AL511" i="1"/>
  <c r="AR511" i="1" s="1"/>
  <c r="AG511" i="1"/>
  <c r="AI511" i="1" s="1"/>
  <c r="Z511" i="1"/>
  <c r="Q511" i="1"/>
  <c r="N511" i="1"/>
  <c r="BE510" i="1"/>
  <c r="BA510" i="1"/>
  <c r="AL510" i="1"/>
  <c r="AR510" i="1" s="1"/>
  <c r="AG510" i="1"/>
  <c r="Z510" i="1"/>
  <c r="Q510" i="1"/>
  <c r="N510" i="1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E521" i="2"/>
  <c r="S517" i="2"/>
  <c r="W517" i="2"/>
  <c r="K517" i="2"/>
  <c r="Q517" i="2" s="1"/>
  <c r="S516" i="2"/>
  <c r="W516" i="2"/>
  <c r="K516" i="2"/>
  <c r="M516" i="2" s="1"/>
  <c r="S515" i="2"/>
  <c r="W515" i="2"/>
  <c r="U515" i="2"/>
  <c r="K515" i="2"/>
  <c r="Q515" i="2" s="1"/>
  <c r="S514" i="2"/>
  <c r="U514" i="2" s="1"/>
  <c r="W514" i="2"/>
  <c r="K514" i="2"/>
  <c r="M514" i="2" s="1"/>
  <c r="S513" i="2"/>
  <c r="W513" i="2"/>
  <c r="K513" i="2"/>
  <c r="Q513" i="2" s="1"/>
  <c r="C513" i="2"/>
  <c r="C514" i="2" s="1"/>
  <c r="C515" i="2" s="1"/>
  <c r="C516" i="2" s="1"/>
  <c r="C517" i="2" s="1"/>
  <c r="C518" i="2" s="1"/>
  <c r="S512" i="2"/>
  <c r="K512" i="2"/>
  <c r="S511" i="2"/>
  <c r="K511" i="2"/>
  <c r="BU520" i="1"/>
  <c r="BU521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20" i="1"/>
  <c r="BV521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Q510" i="2" s="1"/>
  <c r="S509" i="2"/>
  <c r="K509" i="2"/>
  <c r="S508" i="2"/>
  <c r="K508" i="2"/>
  <c r="S507" i="2"/>
  <c r="K507" i="2"/>
  <c r="S506" i="2"/>
  <c r="K506" i="2"/>
  <c r="S505" i="2"/>
  <c r="K505" i="2"/>
  <c r="S504" i="2"/>
  <c r="K504" i="2"/>
  <c r="AL520" i="1" l="1"/>
  <c r="AL521" i="1" s="1"/>
  <c r="AE516" i="1"/>
  <c r="AE520" i="1" s="1"/>
  <c r="AE521" i="1" s="1"/>
  <c r="H520" i="1"/>
  <c r="H521" i="1" s="1"/>
  <c r="BG516" i="1"/>
  <c r="BG520" i="1" s="1"/>
  <c r="BG521" i="1" s="1"/>
  <c r="AC516" i="1"/>
  <c r="AC520" i="1" s="1"/>
  <c r="AC521" i="1" s="1"/>
  <c r="O516" i="1"/>
  <c r="O520" i="1" s="1"/>
  <c r="O521" i="1" s="1"/>
  <c r="S516" i="1"/>
  <c r="S520" i="1" s="1"/>
  <c r="S521" i="1" s="1"/>
  <c r="BN516" i="1"/>
  <c r="BN520" i="1" s="1"/>
  <c r="BN521" i="1" s="1"/>
  <c r="BM515" i="1"/>
  <c r="O515" i="1"/>
  <c r="BG515" i="1"/>
  <c r="AC514" i="1"/>
  <c r="O514" i="1"/>
  <c r="BG514" i="1"/>
  <c r="BN514" i="1"/>
  <c r="AC513" i="1"/>
  <c r="O513" i="1"/>
  <c r="BG513" i="1"/>
  <c r="AE513" i="1"/>
  <c r="BN513" i="1"/>
  <c r="BK512" i="1"/>
  <c r="BK509" i="1"/>
  <c r="BM509" i="1" s="1"/>
  <c r="AI510" i="1"/>
  <c r="BK510" i="1"/>
  <c r="BM512" i="1"/>
  <c r="BG512" i="1"/>
  <c r="S512" i="1"/>
  <c r="BK511" i="1"/>
  <c r="BG511" i="1"/>
  <c r="S511" i="1"/>
  <c r="BM510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U500" i="2" s="1"/>
  <c r="S499" i="2"/>
  <c r="K499" i="2"/>
  <c r="S498" i="2"/>
  <c r="K498" i="2"/>
  <c r="S497" i="2"/>
  <c r="K497" i="2"/>
  <c r="Q502" i="2" l="1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K503" i="1"/>
  <c r="Q498" i="2"/>
  <c r="M503" i="2"/>
  <c r="Q504" i="2"/>
  <c r="M504" i="2"/>
  <c r="Q501" i="2"/>
  <c r="BM502" i="1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BM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45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93" i="3"/>
  <c r="AJ491" i="3"/>
  <c r="AJ494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10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32" i="1"/>
  <c r="D531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11" i="1"/>
  <c r="BG631" i="1"/>
  <c r="BG632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31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21" i="2"/>
  <c r="S357" i="2"/>
  <c r="AP645" i="1"/>
  <c r="BP632" i="1"/>
  <c r="BN629" i="1"/>
  <c r="BP629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10" i="1"/>
  <c r="BP610" i="1" s="1"/>
  <c r="BP612" i="1"/>
  <c r="BP613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33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30" i="1"/>
  <c r="BP630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Y633" i="1" l="1"/>
  <c r="BP637" i="1"/>
  <c r="Q358" i="2"/>
  <c r="M357" i="2"/>
  <c r="U357" i="2"/>
  <c r="M358" i="2"/>
  <c r="CL639" i="1"/>
  <c r="BA614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05" i="1"/>
  <c r="N607" i="1" s="1"/>
  <c r="N608" i="1" l="1"/>
  <c r="D608" i="1" s="1"/>
  <c r="N609" i="1"/>
  <c r="N610" i="1"/>
  <c r="D609" i="1" l="1"/>
  <c r="D610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96" i="1"/>
  <c r="BG596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41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26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20" i="1"/>
  <c r="G521" i="1" s="1"/>
  <c r="F520" i="1"/>
  <c r="F521" i="1" s="1"/>
  <c r="E520" i="1"/>
  <c r="E521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44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41" i="1" l="1"/>
  <c r="AR540" i="1"/>
  <c r="AP540" i="1"/>
  <c r="AR539" i="1"/>
  <c r="AP539" i="1"/>
  <c r="AV539" i="1" l="1"/>
  <c r="AV540" i="1"/>
  <c r="AV541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85" i="1"/>
  <c r="N214" i="1"/>
  <c r="N204" i="1"/>
  <c r="BA584" i="1" s="1"/>
  <c r="N174" i="1"/>
  <c r="BA583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84" i="1" l="1"/>
  <c r="BE584" i="1" s="1"/>
  <c r="Q218" i="2"/>
  <c r="BC585" i="1"/>
  <c r="BE585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53" i="1"/>
  <c r="H553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72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25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23" i="1"/>
  <c r="BK526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73" i="1"/>
  <c r="AP574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68" i="1"/>
  <c r="H569" i="1"/>
  <c r="J569" i="1" s="1"/>
  <c r="H570" i="1"/>
  <c r="J570" i="1" s="1"/>
  <c r="S154" i="2"/>
  <c r="M156" i="2" l="1"/>
  <c r="Q156" i="2"/>
  <c r="O570" i="1"/>
  <c r="AI154" i="1"/>
  <c r="AI161" i="1"/>
  <c r="BK160" i="1"/>
  <c r="BM160" i="1" s="1"/>
  <c r="AR154" i="1"/>
  <c r="BG154" i="1"/>
  <c r="U155" i="2"/>
  <c r="J568" i="1"/>
  <c r="J575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71" i="1"/>
  <c r="AA570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08" i="3"/>
  <c r="F509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46" i="1" l="1"/>
  <c r="AR53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4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50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37" i="1" s="1"/>
  <c r="AH113" i="1"/>
  <c r="AP537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37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57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AH145" i="1"/>
  <c r="N143" i="1"/>
  <c r="AG544" i="1"/>
  <c r="AP538" i="1" s="1"/>
  <c r="AV53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82" i="1" l="1"/>
  <c r="BC583" i="1" s="1"/>
  <c r="BE583" i="1" s="1"/>
  <c r="BE594" i="1"/>
  <c r="BE598" i="1" s="1"/>
  <c r="S127" i="1"/>
  <c r="S128" i="1"/>
  <c r="BE119" i="1"/>
  <c r="BA119" i="1"/>
  <c r="AL119" i="1"/>
  <c r="AR119" i="1" s="1"/>
  <c r="Q119" i="1"/>
  <c r="S126" i="1" s="1"/>
  <c r="K120" i="2"/>
  <c r="BG585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94" i="1" s="1"/>
  <c r="AL113" i="1"/>
  <c r="K114" i="2"/>
  <c r="BA598" i="1" l="1"/>
  <c r="BC596" i="1"/>
  <c r="BG594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90" i="3"/>
  <c r="AA489" i="3"/>
  <c r="AA488" i="3"/>
  <c r="AA487" i="3"/>
  <c r="AA486" i="3"/>
  <c r="AA485" i="3"/>
  <c r="AA484" i="3"/>
  <c r="AA483" i="3"/>
  <c r="AA482" i="3"/>
  <c r="AA481" i="3"/>
  <c r="Y491" i="3"/>
  <c r="W491" i="3"/>
  <c r="S107" i="2"/>
  <c r="AA491" i="3" l="1"/>
  <c r="AA494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91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02" i="3"/>
  <c r="F505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3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36" i="1"/>
  <c r="AV53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92" i="3" l="1"/>
  <c r="I489" i="3"/>
  <c r="L489" i="3" s="1"/>
  <c r="I78" i="3"/>
  <c r="I80" i="3" s="1"/>
  <c r="I77" i="3"/>
  <c r="BE64" i="1"/>
  <c r="BA64" i="1"/>
  <c r="AL64" i="1"/>
  <c r="AR64" i="1" s="1"/>
  <c r="K65" i="2"/>
  <c r="Y19" i="3"/>
  <c r="Q66" i="2" l="1"/>
  <c r="M66" i="2"/>
  <c r="L492" i="3"/>
  <c r="I79" i="3"/>
  <c r="I81" i="3" s="1"/>
  <c r="I82" i="3" s="1"/>
  <c r="BG64" i="1"/>
  <c r="U65" i="2"/>
  <c r="S64" i="2"/>
  <c r="N81" i="3" l="1"/>
  <c r="N82" i="3" s="1"/>
  <c r="I491" i="3"/>
  <c r="L491" i="3" s="1"/>
  <c r="K64" i="2"/>
  <c r="BE63" i="1"/>
  <c r="BA63" i="1"/>
  <c r="AL63" i="1"/>
  <c r="AR63" i="1" s="1"/>
  <c r="Y18" i="3"/>
  <c r="Q65" i="2" l="1"/>
  <c r="M65" i="2"/>
  <c r="I493" i="3"/>
  <c r="U64" i="2"/>
  <c r="BG63" i="1"/>
  <c r="L482" i="3" l="1"/>
  <c r="L493" i="3"/>
  <c r="L481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3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81" i="1"/>
  <c r="B584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35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43" i="1"/>
  <c r="AR545" i="1" s="1"/>
  <c r="AV545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35" i="1"/>
  <c r="AV535" i="1" s="1"/>
  <c r="BA541" i="1" s="1"/>
  <c r="BA542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19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C519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U437" i="3" l="1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U443" i="3" l="1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U448" i="3" l="1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U456" i="3" l="1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U459" i="3" l="1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U464" i="3" l="1"/>
  <c r="U465" i="3" s="1"/>
  <c r="U466" i="3" s="1"/>
  <c r="U467" i="3" s="1"/>
  <c r="U473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518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93" i="3"/>
  <c r="Y49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93" i="3"/>
  <c r="W494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54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07" i="1" s="1"/>
  <c r="O173" i="1"/>
  <c r="AV173" i="1"/>
  <c r="AC173" i="1"/>
  <c r="BE607" i="1" l="1"/>
  <c r="BA629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29" i="1" l="1"/>
  <c r="BP607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29" i="1" l="1"/>
  <c r="BC629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20" i="1" s="1"/>
  <c r="BA608" i="1" s="1"/>
  <c r="J235" i="1"/>
  <c r="O234" i="1"/>
  <c r="AC234" i="1"/>
  <c r="BE608" i="1" l="1"/>
  <c r="BA630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08" i="1" l="1"/>
  <c r="BE630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30" i="1" l="1"/>
  <c r="BC630" i="1"/>
  <c r="BC633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34" i="1"/>
  <c r="AV269" i="1"/>
  <c r="H535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22" i="1"/>
  <c r="BA609" i="1" s="1"/>
  <c r="BA613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15" i="1"/>
  <c r="AA403" i="1"/>
  <c r="AA404" i="1" s="1"/>
  <c r="AE402" i="1"/>
  <c r="BE609" i="1"/>
  <c r="BA631" i="1"/>
  <c r="BA632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16" i="1"/>
  <c r="BA633" i="1" s="1"/>
  <c r="BE633" i="1" s="1"/>
  <c r="AA405" i="1"/>
  <c r="AE404" i="1"/>
  <c r="AE403" i="1"/>
  <c r="BE613" i="1"/>
  <c r="BE631" i="1"/>
  <c r="BP609" i="1"/>
  <c r="AC329" i="1"/>
  <c r="J330" i="1"/>
  <c r="H330" i="1"/>
  <c r="AV329" i="1"/>
  <c r="O329" i="1"/>
  <c r="BE632" i="1" l="1"/>
  <c r="BC631" i="1"/>
  <c r="AX439" i="1"/>
  <c r="BW440" i="1"/>
  <c r="BW441" i="1" s="1"/>
  <c r="BN439" i="1"/>
  <c r="BR424" i="1"/>
  <c r="BP425" i="1"/>
  <c r="BP426" i="1" s="1"/>
  <c r="AE405" i="1"/>
  <c r="AA406" i="1"/>
  <c r="AA407" i="1" s="1"/>
  <c r="BR631" i="1"/>
  <c r="D613" i="1"/>
  <c r="BG613" i="1"/>
  <c r="AC330" i="1"/>
  <c r="J331" i="1"/>
  <c r="H331" i="1"/>
  <c r="O330" i="1"/>
  <c r="AV330" i="1"/>
  <c r="AA285" i="3"/>
  <c r="AA286" i="3"/>
  <c r="AA283" i="3"/>
  <c r="AA284" i="3"/>
  <c r="AA282" i="3"/>
  <c r="AH515" i="1" l="1"/>
  <c r="AH513" i="1"/>
  <c r="AH516" i="1"/>
  <c r="AH520" i="1" s="1"/>
  <c r="AH521" i="1" s="1"/>
  <c r="AH514" i="1"/>
  <c r="AH509" i="1"/>
  <c r="AH511" i="1"/>
  <c r="AH512" i="1"/>
  <c r="AH510" i="1"/>
  <c r="AH503" i="1"/>
  <c r="AH508" i="1"/>
  <c r="AH504" i="1"/>
  <c r="AH506" i="1"/>
  <c r="AH505" i="1"/>
  <c r="AH507" i="1"/>
  <c r="BR632" i="1"/>
  <c r="BC632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13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18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AX511" i="1"/>
  <c r="BR497" i="1"/>
  <c r="BP498" i="1"/>
  <c r="BP499" i="1" s="1"/>
  <c r="AE479" i="1"/>
  <c r="AA480" i="1"/>
  <c r="AV387" i="1"/>
  <c r="J388" i="1"/>
  <c r="H388" i="1"/>
  <c r="O387" i="1"/>
  <c r="AC387" i="1"/>
  <c r="AX512" i="1" l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BR500" i="1" l="1"/>
  <c r="BP501" i="1"/>
  <c r="AE482" i="1"/>
  <c r="AA483" i="1"/>
  <c r="AE481" i="1"/>
  <c r="AV389" i="1"/>
  <c r="O389" i="1"/>
  <c r="J390" i="1"/>
  <c r="H390" i="1"/>
  <c r="AC389" i="1"/>
  <c r="BR501" i="1" l="1"/>
  <c r="BP502" i="1"/>
  <c r="AA484" i="1"/>
  <c r="AE483" i="1"/>
  <c r="J391" i="1"/>
  <c r="H391" i="1"/>
  <c r="AV390" i="1"/>
  <c r="O390" i="1"/>
  <c r="AC390" i="1"/>
  <c r="BR502" i="1" l="1"/>
  <c r="BP503" i="1"/>
  <c r="BP504" i="1" s="1"/>
  <c r="AE484" i="1"/>
  <c r="AA485" i="1"/>
  <c r="AV391" i="1"/>
  <c r="J392" i="1"/>
  <c r="O391" i="1"/>
  <c r="H392" i="1"/>
  <c r="AC391" i="1"/>
  <c r="BR504" i="1" l="1"/>
  <c r="BP505" i="1"/>
  <c r="BR503" i="1"/>
  <c r="AE485" i="1"/>
  <c r="AA486" i="1"/>
  <c r="AV392" i="1"/>
  <c r="J393" i="1"/>
  <c r="H393" i="1"/>
  <c r="O392" i="1"/>
  <c r="AC392" i="1"/>
  <c r="BP506" i="1" l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BP507" i="1" l="1"/>
  <c r="BR506" i="1"/>
  <c r="AA488" i="1"/>
  <c r="AA489" i="1" s="1"/>
  <c r="AE487" i="1"/>
  <c r="AV394" i="1"/>
  <c r="J395" i="1"/>
  <c r="H395" i="1"/>
  <c r="O394" i="1"/>
  <c r="AC394" i="1"/>
  <c r="BR507" i="1" l="1"/>
  <c r="BP508" i="1"/>
  <c r="BP509" i="1" s="1"/>
  <c r="AA490" i="1"/>
  <c r="AE489" i="1"/>
  <c r="AE488" i="1"/>
  <c r="AV395" i="1"/>
  <c r="J396" i="1"/>
  <c r="H396" i="1"/>
  <c r="O395" i="1"/>
  <c r="AC395" i="1"/>
  <c r="BR509" i="1" l="1"/>
  <c r="BP510" i="1"/>
  <c r="BR508" i="1"/>
  <c r="AA491" i="1"/>
  <c r="AE490" i="1"/>
  <c r="AV396" i="1"/>
  <c r="J397" i="1"/>
  <c r="H397" i="1"/>
  <c r="O396" i="1"/>
  <c r="AC396" i="1"/>
  <c r="BR510" i="1" l="1"/>
  <c r="BP511" i="1"/>
  <c r="AA492" i="1"/>
  <c r="AE491" i="1"/>
  <c r="AV397" i="1"/>
  <c r="J398" i="1"/>
  <c r="H398" i="1"/>
  <c r="O397" i="1"/>
  <c r="AC397" i="1"/>
  <c r="BR511" i="1" l="1"/>
  <c r="BP512" i="1"/>
  <c r="AE492" i="1"/>
  <c r="AA493" i="1"/>
  <c r="H399" i="1"/>
  <c r="J399" i="1"/>
  <c r="AV398" i="1"/>
  <c r="O398" i="1"/>
  <c r="AC398" i="1"/>
  <c r="BR512" i="1" l="1"/>
  <c r="AA494" i="1"/>
  <c r="AA495" i="1" s="1"/>
  <c r="AE493" i="1"/>
  <c r="J400" i="1"/>
  <c r="H400" i="1"/>
  <c r="AV399" i="1"/>
  <c r="O399" i="1"/>
  <c r="AC399" i="1"/>
  <c r="AA496" i="1" l="1"/>
  <c r="AE495" i="1"/>
  <c r="AE494" i="1"/>
  <c r="AV400" i="1"/>
  <c r="H401" i="1"/>
  <c r="J401" i="1"/>
  <c r="O400" i="1"/>
  <c r="AC400" i="1"/>
  <c r="AE496" i="1" l="1"/>
  <c r="AA497" i="1"/>
  <c r="AV401" i="1"/>
  <c r="J402" i="1"/>
  <c r="H402" i="1"/>
  <c r="O401" i="1"/>
  <c r="AC401" i="1"/>
  <c r="AA357" i="3"/>
  <c r="AA355" i="3"/>
  <c r="AA356" i="3"/>
  <c r="AA354" i="3"/>
  <c r="AA498" i="1" l="1"/>
  <c r="AA499" i="1" s="1"/>
  <c r="AE497" i="1"/>
  <c r="O402" i="1"/>
  <c r="J403" i="1"/>
  <c r="H403" i="1"/>
  <c r="AV402" i="1"/>
  <c r="AC402" i="1"/>
  <c r="AE499" i="1" l="1"/>
  <c r="AA500" i="1"/>
  <c r="AE498" i="1"/>
  <c r="J404" i="1"/>
  <c r="H404" i="1"/>
  <c r="AV403" i="1"/>
  <c r="O403" i="1"/>
  <c r="AC403" i="1"/>
  <c r="AA501" i="1" l="1"/>
  <c r="AE500" i="1"/>
  <c r="AV404" i="1"/>
  <c r="H405" i="1"/>
  <c r="J405" i="1"/>
  <c r="O404" i="1"/>
  <c r="AC404" i="1"/>
  <c r="AA502" i="1" l="1"/>
  <c r="AE501" i="1"/>
  <c r="AV405" i="1"/>
  <c r="J406" i="1"/>
  <c r="H406" i="1"/>
  <c r="O405" i="1"/>
  <c r="AC405" i="1"/>
  <c r="AE502" i="1" l="1"/>
  <c r="AA503" i="1"/>
  <c r="AA504" i="1" s="1"/>
  <c r="J407" i="1"/>
  <c r="H407" i="1"/>
  <c r="AV406" i="1"/>
  <c r="O406" i="1"/>
  <c r="AC406" i="1"/>
  <c r="AA361" i="3"/>
  <c r="AA359" i="3"/>
  <c r="AA360" i="3"/>
  <c r="AA358" i="3"/>
  <c r="AA505" i="1" l="1"/>
  <c r="AE504" i="1"/>
  <c r="AE503" i="1"/>
  <c r="AV407" i="1"/>
  <c r="J408" i="1"/>
  <c r="H408" i="1"/>
  <c r="O407" i="1"/>
  <c r="AC407" i="1"/>
  <c r="AA506" i="1" l="1"/>
  <c r="AE505" i="1"/>
  <c r="AV408" i="1"/>
  <c r="J409" i="1"/>
  <c r="H409" i="1"/>
  <c r="O408" i="1"/>
  <c r="AC408" i="1"/>
  <c r="AE506" i="1" l="1"/>
  <c r="AA507" i="1"/>
  <c r="AV409" i="1"/>
  <c r="H410" i="1"/>
  <c r="J410" i="1"/>
  <c r="O409" i="1"/>
  <c r="AC409" i="1"/>
  <c r="AA365" i="3"/>
  <c r="AA363" i="3"/>
  <c r="AA364" i="3"/>
  <c r="AA362" i="3"/>
  <c r="AA508" i="1" l="1"/>
  <c r="AA509" i="1" s="1"/>
  <c r="AE507" i="1"/>
  <c r="AV410" i="1"/>
  <c r="H411" i="1"/>
  <c r="J411" i="1"/>
  <c r="O410" i="1"/>
  <c r="AC410" i="1"/>
  <c r="AA510" i="1" l="1"/>
  <c r="AE509" i="1"/>
  <c r="AE508" i="1"/>
  <c r="J412" i="1"/>
  <c r="H412" i="1"/>
  <c r="AV411" i="1"/>
  <c r="O411" i="1"/>
  <c r="AC411" i="1"/>
  <c r="AA511" i="1" l="1"/>
  <c r="AE510" i="1"/>
  <c r="AV412" i="1"/>
  <c r="J413" i="1"/>
  <c r="H413" i="1"/>
  <c r="O412" i="1"/>
  <c r="AC412" i="1"/>
  <c r="AE511" i="1" l="1"/>
  <c r="AA512" i="1"/>
  <c r="AV413" i="1"/>
  <c r="J414" i="1"/>
  <c r="H414" i="1"/>
  <c r="O413" i="1"/>
  <c r="AC413" i="1"/>
  <c r="AE512" i="1" l="1"/>
  <c r="AV414" i="1"/>
  <c r="H415" i="1"/>
  <c r="J415" i="1"/>
  <c r="O414" i="1"/>
  <c r="AC414" i="1"/>
  <c r="AA371" i="3"/>
  <c r="AA369" i="3"/>
  <c r="AA370" i="3"/>
  <c r="AA367" i="3"/>
  <c r="AA368" i="3"/>
  <c r="AA366" i="3"/>
  <c r="I21" i="3" l="1"/>
  <c r="I35" i="3" s="1"/>
  <c r="AJ21" i="2"/>
  <c r="AD49" i="2"/>
  <c r="AD51" i="2" s="1"/>
  <c r="AD53" i="2" s="1"/>
  <c r="AD55" i="2" s="1"/>
  <c r="AD57" i="2" s="1"/>
  <c r="AV415" i="1"/>
  <c r="J416" i="1"/>
  <c r="H416" i="1"/>
  <c r="O415" i="1"/>
  <c r="AC415" i="1"/>
  <c r="AV416" i="1" l="1"/>
  <c r="J417" i="1"/>
  <c r="H417" i="1"/>
  <c r="O416" i="1"/>
  <c r="AC416" i="1"/>
  <c r="J418" i="1" l="1"/>
  <c r="H418" i="1"/>
  <c r="AV417" i="1"/>
  <c r="O417" i="1"/>
  <c r="AC417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I23" i="3" s="1"/>
  <c r="I25" i="3" s="1"/>
  <c r="I27" i="3" s="1"/>
  <c r="J504" i="1"/>
  <c r="AV503" i="1"/>
  <c r="O503" i="1"/>
  <c r="AC503" i="1"/>
  <c r="N27" i="3" l="1"/>
  <c r="N28" i="3" s="1"/>
  <c r="I34" i="3"/>
  <c r="AV504" i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AV512" i="1" l="1"/>
  <c r="O512" i="1"/>
  <c r="AC512" i="1"/>
  <c r="BR633" i="1"/>
  <c r="CL648" i="1" s="1"/>
  <c r="CL650" i="1" s="1"/>
  <c r="I32" i="3" l="1"/>
  <c r="AF21" i="2"/>
  <c r="BA636" i="1"/>
  <c r="BC636" i="1" s="1"/>
  <c r="CL634" i="1"/>
  <c r="CL636" i="1"/>
  <c r="L34" i="3" l="1"/>
  <c r="L35" i="3"/>
  <c r="I36" i="3"/>
  <c r="I28" i="3"/>
  <c r="L32" i="3"/>
  <c r="AA470" i="3" l="1"/>
  <c r="W471" i="3"/>
  <c r="AA471" i="3" s="1"/>
  <c r="AA468" i="3"/>
  <c r="AA469" i="3"/>
  <c r="AA467" i="3"/>
  <c r="L36" i="3"/>
  <c r="Y244" i="3" l="1"/>
  <c r="Y350" i="3"/>
  <c r="Y121" i="3"/>
  <c r="Y12" i="3"/>
  <c r="Y214" i="3"/>
</calcChain>
</file>

<file path=xl/sharedStrings.xml><?xml version="1.0" encoding="utf-8"?>
<sst xmlns="http://schemas.openxmlformats.org/spreadsheetml/2006/main" count="372" uniqueCount="190">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</sst>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Table'!$BA$624:$BA$628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Table'!$BA$629:$BA$633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17810862.291253012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Table'!$BC$624:$BC$628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Table'!$BC$629:$BC$633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37079642.297614455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Table'!$BJ$624:$BJ$628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Table'!$BJ$629:$BJ$633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Table'!$BK$624:$BK$628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Table'!$BK$629:$BK$633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Table'!$BL$624:$BL$628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Table'!$BL$629:$BL$633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Table'!$BM$624:$BM$628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Table'!$BM$629:$BM$633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Table'!$BP$624:$BP$628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Table'!$AS$629:$AT$633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8</c:v>
                </c:pt>
              </c:strCache>
            </c:strRef>
          </c:cat>
          <c:val>
            <c:numRef>
              <c:f>'Main Table'!$BP$629:$BP$633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166648000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Table'!$AU$624:$AU$628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Table'!$AU$629:$AU$633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Table'!$AV$624:$AV$628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Table'!$AV$629:$AV$633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Table'!$AW$624:$AW$628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Table'!$AW$629:$AW$633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Table'!$AX$624:$AX$628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Table'!$AX$629:$AX$633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Table'!$AY$624:$AY$628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Table'!$AY$629:$AY$633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Table'!$AZ$624:$AZ$628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Table'!$AZ$629:$AZ$633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Table'!$BB$624:$BB$628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Table'!$BB$629:$BB$633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Table'!$BD$624:$BD$628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Table'!$BD$629:$BD$633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Table'!$BE$624:$BE$628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Table'!$BE$629:$BE$633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54890504.588867471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Table'!$BF$624:$BF$628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Table'!$BF$629:$BF$633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Table'!$BG$624:$BG$628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Table'!$BG$629:$BG$633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113228000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Table'!$BH$624:$BH$628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Table'!$BH$629:$BH$633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Table'!$BI$624:$BI$628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Table'!$BI$629:$BI$633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Table'!$BN$624:$BN$628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Table'!$BN$629:$BN$633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Table'!$BO$624:$BO$628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Table'!$BO$629:$BO$633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Table'!$BQ$624:$BQ$628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Table'!$BQ$629:$BQ$633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Table'!$BR$624:$BR$628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Table'!$BR$629:$BR$633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221538504.58886749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Table'!$BS$624:$BS$628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Table'!$BS$629:$BS$633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Table'!$BT$624:$BT$628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Table'!$BT$629:$BT$633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Table'!$BU$624:$BU$628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Table'!$BU$629:$BU$633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Table'!$BV$624:$BV$628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Table'!$AS$629:$AT$633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Table'!$BV$629:$BV$633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533</xdr:row>
      <xdr:rowOff>99060</xdr:rowOff>
    </xdr:from>
    <xdr:to>
      <xdr:col>22</xdr:col>
      <xdr:colOff>312420</xdr:colOff>
      <xdr:row>534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533</xdr:row>
      <xdr:rowOff>129540</xdr:rowOff>
    </xdr:from>
    <xdr:to>
      <xdr:col>23</xdr:col>
      <xdr:colOff>68580</xdr:colOff>
      <xdr:row>534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551</xdr:row>
      <xdr:rowOff>125730</xdr:rowOff>
    </xdr:from>
    <xdr:to>
      <xdr:col>54</xdr:col>
      <xdr:colOff>213360</xdr:colOff>
      <xdr:row>566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640</xdr:row>
      <xdr:rowOff>91440</xdr:rowOff>
    </xdr:from>
    <xdr:to>
      <xdr:col>76</xdr:col>
      <xdr:colOff>472440</xdr:colOff>
      <xdr:row>663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64"/>
  <sheetViews>
    <sheetView tabSelected="1" topLeftCell="AK633" zoomScaleNormal="100" workbookViewId="0">
      <selection activeCell="BG634" sqref="BG63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SUM(D102:D519)</f>
        <v>32827683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SUM(D109:D526)</f>
        <v>32643717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SUM(D116:D533)</f>
        <v>33095392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SUM(D123:D543)</f>
        <v>363700522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SUM(D124:D544)</f>
        <v>363638803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SUM(D125:D545)</f>
        <v>363580454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SUM(D126:D546)</f>
        <v>363514966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SUM(D127:D547)</f>
        <v>363448918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SUM(D128:D548)</f>
        <v>363376923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SUM(D129:D549)</f>
        <v>440303535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SUM(D130:D550)</f>
        <v>440228548.23262841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SUM(D131:D551)</f>
        <v>440165289.23262841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SUM(D132:D552)</f>
        <v>771100010.23262835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SUM(D133:D553)</f>
        <v>815391131.23262835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SUM(D134:D554)</f>
        <v>815323652.30462837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SUM(D135:D555)</f>
        <v>815251685.30462837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SUM(D136:D556)</f>
        <v>815182242.34662843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SUM(D137:D557)</f>
        <v>816105208.34662843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SUM(D138:D558)</f>
        <v>816037795.34662843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SUM(D139:D559)</f>
        <v>815981665.34662843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SUM(D140:D560)</f>
        <v>815920094.34662843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SUM(D141:D561)</f>
        <v>815855365.34662843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SUM(D142:D562)</f>
        <v>815788444.34662843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SUM(D143:D563)</f>
        <v>815719875.34662843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SUM(D144:D564)</f>
        <v>815648792.34662843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SUM(D145:D565)</f>
        <v>815590251.34662843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SUM(D146:D566)</f>
        <v>815541213.34662843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SUM(D147:D567)</f>
        <v>815492567.34662843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SUM(D148:D568)</f>
        <v>815438003.34662843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SUM(D149:D569)</f>
        <v>815382855.34662843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SUM(D150:D570)</f>
        <v>815324145.34662843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SUM(D151:D571)</f>
        <v>815260899.34662843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SUM(D152:D572)</f>
        <v>815206700.34662843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SUM(D153:D573)</f>
        <v>815158851.34662843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SUM(D154:D574)</f>
        <v>815109051.34662843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SUM(D155:D575)</f>
        <v>815054532.34662843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SUM(D156:D576)</f>
        <v>815000187.34662843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SUM(D157:D577)</f>
        <v>814944823.34662843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SUM(D158:D578)</f>
        <v>814884223.34662843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SUM(D159:D579)</f>
        <v>814830700.34662843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SUM(D160:D580)</f>
        <v>814793857.34662843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SUM(D161:D581)</f>
        <v>814753245.34662843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SUM(D162:D582)</f>
        <v>814709246.34662843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SUM(D163:D583)</f>
        <v>814664273.34662843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SUM(D164:D584)</f>
        <v>814618916.34662843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SUM(D165:D585)</f>
        <v>814568435.34662843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SUM(D166:D586)</f>
        <v>814524606.34662843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SUM(D167:D587)</f>
        <v>814491888.34662843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SUM(D168:D588)</f>
        <v>814450404.34662843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SUM(D169:D589)</f>
        <v>814410306.34662843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SUM(D170:D590)</f>
        <v>814365669.34662843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SUM(D171:D591)</f>
        <v>814319663.34662843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SUM(D172:D592)</f>
        <v>814270062.34662843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SUM(D173:D593)</f>
        <v>814227402.34662843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SUM(D174:D594)</f>
        <v>814193421.34662843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SUM(D175:D595)</f>
        <v>814154861.34662843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SUM(D176:D596)</f>
        <v>814112882.34662843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SUM(D177:D597)</f>
        <v>814071671.34662843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SUM(D178:D598)</f>
        <v>814026207.34662843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SUM(D179:D599)</f>
        <v>813973358.34662843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SUM(D180:D600)</f>
        <v>813931266.34662843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SUM(D181:D601)</f>
        <v>813900156.34662843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SUM(D182:D605)</f>
        <v>813874736.34662843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SUM(D183:D606)</f>
        <v>813846297.34662843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SUM(D184:D607)</f>
        <v>813811054.34662843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SUM(D185:D608)</f>
        <v>847486529.06091416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SUM(D186:D609)</f>
        <v>898297071.91805696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SUM(D187:D610)</f>
        <v>966829218.4894855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SUM(D188:D612)</f>
        <v>966797361.4894855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SUM(D189:D613)</f>
        <v>1144962962.060914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SUM(D190:D617)</f>
        <v>1144926515.060914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SUM(D191:D618)</f>
        <v>1144886361.060914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SUM(D192:D619)</f>
        <v>1144840066.060914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SUM(D193:D620)</f>
        <v>1144788721.060914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SUM(D194:D621)</f>
        <v>1144745108.060914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SUM(D195:D622)</f>
        <v>1144711722.060914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SUM(D196:D628)</f>
        <v>1144674918.060914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SUM(D197:D629)</f>
        <v>1144639222.060914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SUM(D198:D630)</f>
        <v>1144597606.060914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SUM(D199:D631)</f>
        <v>1144552251.060914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SUM(D200:D633)</f>
        <v>1144498622.060914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SUM(D201:D634)</f>
        <v>1144455416.060914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SUM(D202:D635)</f>
        <v>1144421634.060914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SUM(D203:D636)</f>
        <v>1144384216.060914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SUM(D204:D637)</f>
        <v>1144339989.060914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SUM(D205:D638)</f>
        <v>1144299060.060914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SUM(D206:D639)</f>
        <v>1144251671.060914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SUM(D207:D640)</f>
        <v>1144200268.060914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SUM(D208:D641)</f>
        <v>1144151343.060914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SUM(D209:D642)</f>
        <v>1144117277.060914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SUM(D210:D643)</f>
        <v>1144079560.060914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SUM(D211:D644)</f>
        <v>1144034892.060914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SUM(D212:D645)</f>
        <v>1143985534.060914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SUM(D213:D646)</f>
        <v>1143928216.060914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SUM(D214:D647)</f>
        <v>1143867233.060914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SUM(D215:D648)</f>
        <v>1143812998.060914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SUM(D216:D649)</f>
        <v>1143771063.060914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SUM(D217:D650)</f>
        <v>1143725272.060914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SUM(D218:D651)</f>
        <v>1143673738.060914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SUM(D219:D652)</f>
        <v>1143614045.060914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SUM(D220:D653)</f>
        <v>1143547916.060914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SUM(D221:D654)</f>
        <v>1143476229.060914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SUM(D222:D655)</f>
        <v>1143421997.060914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SUM(D223:D656)</f>
        <v>1143377056.060914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SUM(D224:D657)</f>
        <v>1143319729.060914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SUM(D225:D658)</f>
        <v>1143257657.060914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SUM(D226:D659)</f>
        <v>1143193994.060914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SUM(D227:D660)</f>
        <v>1143119693.060914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SUM(D228:D661)</f>
        <v>1143038279.060914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SUM(D229:D662)</f>
        <v>1142958830.060914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SUM(D230:D663)</f>
        <v>1142897941.060914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SUM(D231:D664)</f>
        <v>1142828100.060914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SUM(D232:D665)</f>
        <v>1142753028.060914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SUM(D233:D666)</f>
        <v>1142671447.060914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SUM(D234:D667)</f>
        <v>1142579917.060914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SUM(D235:D668)</f>
        <v>1142478456.060914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SUM(D236:D669)</f>
        <v>1142392163.060914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SUM(D237:D670)</f>
        <v>1142320842.060914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SUM(D238:D671)</f>
        <v>1142231937.060914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SUM(D239:D672)</f>
        <v>1142137470.060914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SUM(D240:D673)</f>
        <v>1142029081.060914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SUM(D241:D674)</f>
        <v>1141910762.060914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SUM(D242:D675)</f>
        <v>1141778221.060914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SUM(D243:D676)</f>
        <v>1141653831.060914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SUM(D244:D677)</f>
        <v>1141551105.060914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SUM(D245:D678)</f>
        <v>1141425416.060914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SUM(D246:D679)</f>
        <v>1141289763.060914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SUM(D247:D680)</f>
        <v>1141146857.060914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SUM(D248:D681)</f>
        <v>1140985316.060914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SUM(D249:D682)</f>
        <v>1140801789.060914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SUM(D250:D683)</f>
        <v>1140644536.060914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SUM(D251:D684)</f>
        <v>1140506287.060914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SUM(D252:D685)</f>
        <v>1140344138.060914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SUM(D253:D686)</f>
        <v>1140186877.060914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SUM(D254:D687)</f>
        <v>1140013109.060914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SUM(D255:D688)</f>
        <v>1139820923.060914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SUM(D256:D689)</f>
        <v>1139616744.060914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SUM(D257:D690)</f>
        <v>1139443905.060914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SUM(D258:D691)</f>
        <v>1139307278.060914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SUM(D259:D692)</f>
        <v>1139134978.060914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SUM(D260:D693)</f>
        <v>1138957896.060914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SUM(D261:D694)</f>
        <v>1138776993.060914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SUM(D262:D695)</f>
        <v>1138668930.060914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SUM(D263:D696)</f>
        <v>1138504918.060914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SUM(D264:D697)</f>
        <v>1138361545.060914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SUM(D265:D698)</f>
        <v>1138223357.060914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SUM(D266:D699)</f>
        <v>1138061789.060914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SUM(D267:D700)</f>
        <v>1137879513.060914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SUM(D268:D701)</f>
        <v>1137675776.060914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SUM(D269:D702)</f>
        <v>1137457200.060914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SUM(D270:D703)</f>
        <v>1137221928.060914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SUM(D271:D704)</f>
        <v>1137009445.060914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SUM(D272:D705)</f>
        <v>1136826666.060914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SUM(D273:D706)</f>
        <v>1136626581.060914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SUM(D274:D707)</f>
        <v>1136416825.060914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SUM(D275:D708)</f>
        <v>1136189872.060914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SUM(D276:D709)</f>
        <v>1135962558.060914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SUM(D277:D710)</f>
        <v>1135715797.060914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SUM(D278:D711)</f>
        <v>1135495499.060914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SUM(D279:D712)</f>
        <v>1135307598.060914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SUM(D280:D713)</f>
        <v>1135107866.060914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SUM(D281:D714)</f>
        <v>1134907831.060914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SUM(D282:D715)</f>
        <v>1134657658.060914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SUM(D283:D716)</f>
        <v>1134419786.060914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SUM(D284:D717)</f>
        <v>1134165106.060914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SUM(D285:D718)</f>
        <v>1133975456.060914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SUM(D286:D719)</f>
        <v>1133787176.060914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SUM(D287:D720)</f>
        <v>1133587067.060914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SUM(D288:D721)</f>
        <v>1133387987.060914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SUM(D289:D722)</f>
        <v>1133155645.060914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SUM(D290:D723)</f>
        <v>1132962615.060914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SUM(D291:D724)</f>
        <v>1132863775.060914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SUM(D292:D725)</f>
        <v>1132703171.060914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SUM(D293:D726)</f>
        <v>1132575431.060914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SUM(D294:D727)</f>
        <v>1132389040.060914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SUM(D295:D728)</f>
        <v>1132189418.060914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SUM(D296:D729)</f>
        <v>1131954643.060914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SUM(D297:D730)</f>
        <v>1131726230.060914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SUM(D298:D731)</f>
        <v>1131560186.060914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SUM(D299:D732)</f>
        <v>1131327959.060914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SUM(D300:D733)</f>
        <v>1131133622.060914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SUM(D301:D734)</f>
        <v>1130943460.060914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SUM(D302:D735)</f>
        <v>1130708749.060914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SUM(D303:D736)</f>
        <v>1130447776.060914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SUM(D304:D737)</f>
        <v>1130173586.060914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SUM(D305:D738)</f>
        <v>1129867137.060914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SUM(D306:D739)</f>
        <v>1129617443.060914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SUM(D307:D740)</f>
        <v>1129396616.060914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SUM(D308:D741)</f>
        <v>1129181933.060914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SUM(D309:D742)</f>
        <v>1128958305.060914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SUM(D310:D743)</f>
        <v>1128720232.060914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SUM(D311:D744)</f>
        <v>1128485813.060914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SUM(D312:D745)</f>
        <v>1128237007.060914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SUM(D313:D746)</f>
        <v>1128034240.060914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SUM(D314:D747)</f>
        <v>1127859680.060914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SUM(D315:D748)</f>
        <v>1127710352.060914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SUM(D316:D749)</f>
        <v>1127535974.060914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SUM(D317:D750)</f>
        <v>1127345893.060914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SUM(D318:D751)</f>
        <v>1127152135.060914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SUM(D319:D752)</f>
        <v>1126960070.060914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SUM(D320:D753)</f>
        <v>1126787003.060914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SUM(D321:D754)</f>
        <v>1126651821.060914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SUM(D322:D755)</f>
        <v>1126499577.060914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SUM(D323:D756)</f>
        <v>1126347850.060914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SUM(D324:D757)</f>
        <v>1126187819.060914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SUM(D325:D758)</f>
        <v>1126025186.060914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SUM(D326:D759)</f>
        <v>1125856153.060914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SUM(D327:D760)</f>
        <v>1125715421.060914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SUM(D328:D761)</f>
        <v>1125607605.060914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SUM(D329:D762)</f>
        <v>1125481153.060914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SUM(D330:D763)</f>
        <v>1125364926.060914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SUM(D331:D764)</f>
        <v>1125251467.060914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SUM(D332:D765)</f>
        <v>1125129730.060914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SUM(D333:D766)</f>
        <v>1125003605.060914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SUM(D334:D767)</f>
        <v>1124897622.060914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SUM(D335:D768)</f>
        <v>1124806366.060914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SUM(D336:D769)</f>
        <v>1124716020.060914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SUM(D337:D770)</f>
        <v>1124620478.060914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SUM(D338:D771)</f>
        <v>1124523672.060914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SUM(D339:D772)</f>
        <v>1124419428.060914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SUM(D340:D773)</f>
        <v>1124319140.060914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SUM(D341:D774)</f>
        <v>1124232656.060914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SUM(D342:D775)</f>
        <v>1124168359.060914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SUM(D343:D776)</f>
        <v>1124115574.060914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SUM(D344:D777)</f>
        <v>1124052176.060914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SUM(D345:D778)</f>
        <v>1123980536.060914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SUM(D346:D779)</f>
        <v>1123911612.060914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SUM(D347:D780)</f>
        <v>1123826073.060914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SUM(D348:D781)</f>
        <v>1123756456.060914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SUM(D349:D782)</f>
        <v>1123699231.060914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SUM(D350:D783)</f>
        <v>1123628177.060914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SUM(D351:D784)</f>
        <v>1123554473.060914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SUM(D352:D785)</f>
        <v>1123479174.060914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SUM(D353:D786)</f>
        <v>1123401797.060914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SUM(D354:D787)</f>
        <v>1123321172.060914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SUM(D355:D788)</f>
        <v>1123256852.060914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SUM(D356:D789)</f>
        <v>1123207440.060914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SUM(D357:D790)</f>
        <v>1123152259.060914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SUM(D358:D791)</f>
        <v>1123095369.060914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SUM(D359:D792)</f>
        <v>1123028144.060914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SUM(D360:D793)</f>
        <v>1122959823.060914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SUM(D361:D794)</f>
        <v>1122890583.060914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SUM(D362:D795)</f>
        <v>1122832355.060914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SUM(D363:D796)</f>
        <v>1122790388.060914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SUM(D364:D797)</f>
        <v>1122745020.060914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SUM(D365:D798)</f>
        <v>1122689337.060914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16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SUM(D366:D799)</f>
        <v>1122627977.060914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SUM(D367:D800)</f>
        <v>1122565204.060914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SUM(D368:D801)</f>
        <v>1122498419.060914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SUM(D369:D802)</f>
        <v>1122448701.060914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SUM(D370:D803)</f>
        <v>1122411805.060914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SUM(D371:D804)</f>
        <v>1122365038.060914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SUM(D372:D805)</f>
        <v>1122311807.060914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SUM(D373:D806)</f>
        <v>1122248312.060914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SUM(D374:D807)</f>
        <v>1122185683.060914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SUM(D375:D808)</f>
        <v>1122119270.060914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SUM(D376:D809)</f>
        <v>1122063362.060914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SUM(D377:D810)</f>
        <v>1122023857.060914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SUM(D378:D811)</f>
        <v>1121978109.060914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SUM(D379:D812)</f>
        <v>1121919404.060914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SUM(D380:D813)</f>
        <v>1121852866.060914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SUM(D381:D814)</f>
        <v>1121785820.060914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SUM(D382:D815)</f>
        <v>1121708844.060914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SUM(D383:D816)</f>
        <v>1121645185.060914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SUM(D384:D817)</f>
        <v>1121601089.060914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SUM(D385:D818)</f>
        <v>1121540891.060914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SUM(D386:D819)</f>
        <v>1121478432.060914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SUM(D387:D820)</f>
        <v>1121409676.060914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SUM(D388:D821)</f>
        <v>1121365425.060914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SUM(D389:D822)</f>
        <v>1121295401.060914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SUM(D390:D823)</f>
        <v>1121229247.060914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SUM(D391:D824)</f>
        <v>1121192264.060914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SUM(D392:D825)</f>
        <v>1121134620.060914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SUM(D393:D826)</f>
        <v>1121072337.060914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SUM(D394:D827)</f>
        <v>1120997154.060914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SUM(D395:D828)</f>
        <v>1120916993.060914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SUM(D396:D829)</f>
        <v>1120831625.060914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SUM(D397:D830)</f>
        <v>1120764845.060914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SUM(D398:D831)</f>
        <v>1120716971.060914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SUM(D399:D832)</f>
        <v>1120660449.060914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SUM(D400:D833)</f>
        <v>1120582729.060914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SUM(D401:D834)</f>
        <v>1120504290.060914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SUM(D402:D835)</f>
        <v>1120429811.060914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SUM(D403:D836)</f>
        <v>1120348038.060914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SUM(D404:D837)</f>
        <v>1120284457.060914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SUM(D405:D838)</f>
        <v>1120241276.060914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SUM(D406:D839)</f>
        <v>1120189626.060914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SUM(D407:D840)</f>
        <v>1120129309.060914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SUM(D408:D841)</f>
        <v>1120064252.060914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SUM(D409:D842)</f>
        <v>1119997182.060914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SUM(D410:D843)</f>
        <v>1119930667.060914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SUM(D411:D844)</f>
        <v>1119877387.060914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SUM(D412:D845)</f>
        <v>1119842651.060914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SUM(D413:D846)</f>
        <v>1119795195.060914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SUM(D414:D847)</f>
        <v>1119743149.060914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SUM(D415:D848)</f>
        <v>1119686545.060914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SUM(D416:D849)</f>
        <v>1119627276.060914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SUM(D417:D850)</f>
        <v>1119567370.060914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SUM(D418:D851)</f>
        <v>1119525336.060914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SUM(D419:D852)</f>
        <v>1119494635.060914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SUM(D420:D853)</f>
        <v>1119454181.060914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SUM(D421:D854)</f>
        <v>1119411827.060914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SUM(D422:D855)</f>
        <v>1119365698.060914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SUM(D423:D856)</f>
        <v>1119317879.060914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SUM(D424:D857)</f>
        <v>1119268388.060914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SUM(D425:D858)</f>
        <v>1119232633.060914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SUM(D426:D859)</f>
        <v>1119210433.060914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SUM(D427:D860)</f>
        <v>1119180281.060914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SUM(D428:D861)</f>
        <v>1119145377.060914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SUM(D429:D862)</f>
        <v>1119109561.060914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SUM(D430:D863)</f>
        <v>1119069736.060914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SUM(D431:D864)</f>
        <v>1119030641.060914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SUM(D432:D865)</f>
        <v>1119004999.060914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SUM(D433:D866)</f>
        <v>1118987165.060914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SUM(D434:D867)</f>
        <v>1118962135.060914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SUM(D435:D868)</f>
        <v>1118934629.060914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SUM(D436:D869)</f>
        <v>1118906088.060914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SUM(D437:D870)</f>
        <v>1118875874.060914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SUM(D438:D871)</f>
        <v>1118846860.060914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SUM(D439:D872)</f>
        <v>1118827221.060914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SUM(D440:D873)</f>
        <v>1118813680.060914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SUM(D441:D874)</f>
        <v>1118793314.060914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SUM(D442:D875)</f>
        <v>1118770576.060914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516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SUM(D443:D876)</f>
        <v>1118747076.060914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SUM(D444:D877)</f>
        <v>1118722683.060914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SUM(D445:D878)</f>
        <v>1118699870.060914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SUM(D446:D879)</f>
        <v>1118687209.060914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SUM(D447:D880)</f>
        <v>1118679459.060914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SUM(D448:D881)</f>
        <v>1118674224.060914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SUM(D449:D882)</f>
        <v>1118661248.060914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SUM(D450:D883)</f>
        <v>1118644274.060914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SUM(D451:D884)</f>
        <v>1118626453.060914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SUM(D452:D885)</f>
        <v>1118609528.060914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SUM(D453:D886)</f>
        <v>1118597925.060914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SUM(D454:D887)</f>
        <v>1118591517.060914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SUM(D455:D888)</f>
        <v>1118579234.060914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SUM(D456:D889)</f>
        <v>1118565692.060914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SUM(D457:D890)</f>
        <v>1118551491.060914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SUM(D458:D891)</f>
        <v>1118534727.060914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SUM(D459:D892)</f>
        <v>1118518582.060914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SUM(D460:D893)</f>
        <v>1118509155.060914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SUM(D461:D894)</f>
        <v>1118503870.060914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SUM(D462:D895)</f>
        <v>1118492349.060914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SUM(D463:D896)</f>
        <v>1118479769.060914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SUM(D464:D897)</f>
        <v>1118465706.060914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SUM(D465:D898)</f>
        <v>1118451973.060914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SUM(D466:D899)</f>
        <v>1118438584.060914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1092874</v>
      </c>
      <c r="BB495" s="66"/>
      <c r="BC495" s="66">
        <v>517370536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2.0384783607259392E-2</v>
      </c>
      <c r="BH495" s="66"/>
      <c r="BI495" s="170"/>
      <c r="BJ495" s="66"/>
      <c r="BK495" s="66">
        <f t="shared" ref="BK495" si="1771">SUM(BA489:BA495)</f>
        <v>5565009</v>
      </c>
      <c r="BL495" s="66"/>
      <c r="BM495" s="144">
        <f t="shared" ref="BM495" si="1772">+Q495/BK495</f>
        <v>3.9309729777615814E-2</v>
      </c>
      <c r="BN495" s="65">
        <f t="shared" ref="BN495" si="1773">+BC495/BW495</f>
        <v>1064548.4279835392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6.4715076855478296E-2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>
        <v>32576</v>
      </c>
      <c r="E496" s="16"/>
      <c r="F496" s="16"/>
      <c r="G496" s="16"/>
      <c r="H496" s="16">
        <f t="shared" ref="H496" si="1776">+H495+D496</f>
        <v>34421228</v>
      </c>
      <c r="I496" s="16"/>
      <c r="J496" s="436">
        <f t="shared" ref="J496" si="1777">+D496/H495</f>
        <v>9.4728923948516502E-4</v>
      </c>
      <c r="K496" s="16"/>
      <c r="L496" s="16"/>
      <c r="M496" s="16"/>
      <c r="N496" s="16">
        <f t="shared" ref="N496" si="1778">SUM(D490:D496)</f>
        <v>231339</v>
      </c>
      <c r="O496" s="16">
        <f t="shared" ref="O496" si="1779">+H496/BW496</f>
        <v>70680.139630390142</v>
      </c>
      <c r="P496" s="41"/>
      <c r="Q496" s="17">
        <f t="shared" ref="Q496" si="1780">SUM(D490:D496)</f>
        <v>231339</v>
      </c>
      <c r="R496" s="16"/>
      <c r="S496" s="60">
        <f t="shared" ref="S496" si="1781">+(Q496-Q489)/Q489</f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ref="Z496" si="1782">SUM(W491:W496)</f>
        <v>1316</v>
      </c>
      <c r="AA496" s="33">
        <f t="shared" ref="AA496" si="1783">+AA495+W496</f>
        <v>609094</v>
      </c>
      <c r="AB496" s="33"/>
      <c r="AC496" s="46">
        <f t="shared" ref="AC496" si="1784">+AA496/H496</f>
        <v>1.7695301283266244E-2</v>
      </c>
      <c r="AD496" s="33"/>
      <c r="AE496" s="33">
        <f t="shared" ref="AE496" si="1785">+AA496/BW496</f>
        <v>1250.7063655030802</v>
      </c>
      <c r="AF496" s="50"/>
      <c r="AG496" s="33">
        <f t="shared" ref="AG496" si="1786">SUM(W490:W496)</f>
        <v>1487</v>
      </c>
      <c r="AH496" s="33">
        <f t="shared" ref="AH496" si="1787">SUM(D467:D900)</f>
        <v>1118430802.060914</v>
      </c>
      <c r="AI496" s="213">
        <f t="shared" ref="AI496" si="1788">+(AG496-AG489)/AG489</f>
        <v>7.1325648414985593E-2</v>
      </c>
      <c r="AJ496" s="50"/>
      <c r="AK496" s="111"/>
      <c r="AL496" s="23">
        <f t="shared" ref="AL496" si="1789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0">+AL496/AP495</f>
        <v>1.0695176973133877E-3</v>
      </c>
      <c r="AS496" s="25"/>
      <c r="AT496" s="25"/>
      <c r="AU496" s="24"/>
      <c r="AV496" s="298">
        <f t="shared" ref="AV496" si="1791">+AP496/H496</f>
        <v>0.85447143257062186</v>
      </c>
      <c r="AW496" s="298"/>
      <c r="AX496" s="24">
        <f t="shared" ref="AX496" si="1792">+AP496/BW496</f>
        <v>60394.160164271045</v>
      </c>
      <c r="AY496" s="308"/>
      <c r="AZ496" s="111"/>
      <c r="BA496" s="65">
        <f t="shared" ref="BA496" si="1793">+BC496-BC495</f>
        <v>614626</v>
      </c>
      <c r="BB496" s="66"/>
      <c r="BC496" s="66">
        <v>517985162</v>
      </c>
      <c r="BD496" s="66"/>
      <c r="BE496" s="66">
        <f t="shared" ref="BE496" si="1794">+D496</f>
        <v>32576</v>
      </c>
      <c r="BF496" s="66"/>
      <c r="BG496" s="144">
        <f t="shared" ref="BG496" si="1795">+BE496/BA496</f>
        <v>5.3001337398678218E-2</v>
      </c>
      <c r="BH496" s="66"/>
      <c r="BI496" s="170"/>
      <c r="BJ496" s="66"/>
      <c r="BK496" s="66">
        <f t="shared" ref="BK496" si="1796">SUM(BA490:BA496)</f>
        <v>4821272</v>
      </c>
      <c r="BL496" s="66"/>
      <c r="BM496" s="144">
        <f t="shared" ref="BM496" si="1797">+Q496/BK496</f>
        <v>4.7982980425082838E-2</v>
      </c>
      <c r="BN496" s="65">
        <f t="shared" ref="BN496" si="1798">+BC496/BW496</f>
        <v>1063624.5626283367</v>
      </c>
      <c r="BO496" s="66"/>
      <c r="BP496" s="66">
        <f t="shared" ref="BP496" si="1799">+BP495+BE496</f>
        <v>33514250</v>
      </c>
      <c r="BQ496" s="66"/>
      <c r="BR496" s="435">
        <f t="shared" ref="BR496" si="1800">+BP496/BC496</f>
        <v>6.4701177675819219E-2</v>
      </c>
      <c r="BS496" s="66"/>
      <c r="BT496" s="75"/>
      <c r="BU496" s="170"/>
      <c r="BV496" s="1"/>
      <c r="BW496" s="61">
        <f t="shared" si="1175"/>
        <v>487</v>
      </c>
    </row>
    <row r="497" spans="2:75" x14ac:dyDescent="0.3">
      <c r="B497" s="158">
        <f t="shared" si="424"/>
        <v>44397</v>
      </c>
      <c r="C497" s="61"/>
      <c r="D497" s="17">
        <v>44232</v>
      </c>
      <c r="E497" s="16"/>
      <c r="F497" s="16"/>
      <c r="G497" s="16"/>
      <c r="H497" s="16">
        <f t="shared" ref="H497" si="1801">+H496+D497</f>
        <v>34465460</v>
      </c>
      <c r="I497" s="16"/>
      <c r="J497" s="436">
        <f t="shared" ref="J497" si="1802">+D497/H496</f>
        <v>1.2850209760093393E-3</v>
      </c>
      <c r="K497" s="16"/>
      <c r="L497" s="16"/>
      <c r="M497" s="16"/>
      <c r="N497" s="16">
        <f t="shared" ref="N497" si="1803">SUM(D491:D497)</f>
        <v>235817</v>
      </c>
      <c r="O497" s="16">
        <f t="shared" ref="O497" si="1804">+H497/BW497</f>
        <v>70625.942622950824</v>
      </c>
      <c r="P497" s="41"/>
      <c r="Q497" s="17">
        <f t="shared" ref="Q497" si="1805">SUM(D491:D497)</f>
        <v>235817</v>
      </c>
      <c r="R497" s="16"/>
      <c r="S497" s="60">
        <f t="shared" ref="S497" si="1806">+(Q497-Q490)/Q490</f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ref="Z497" si="1807">SUM(W492:W497)</f>
        <v>1225</v>
      </c>
      <c r="AA497" s="33">
        <f t="shared" ref="AA497" si="1808">+AA496+W497</f>
        <v>609350</v>
      </c>
      <c r="AB497" s="33"/>
      <c r="AC497" s="46">
        <f t="shared" ref="AC497" si="1809">+AA497/H497</f>
        <v>1.7680019358511392E-2</v>
      </c>
      <c r="AD497" s="33"/>
      <c r="AE497" s="33">
        <f t="shared" ref="AE497" si="1810">+AA497/BW497</f>
        <v>1248.6680327868853</v>
      </c>
      <c r="AF497" s="50"/>
      <c r="AG497" s="33">
        <f t="shared" ref="AG497" si="1811">SUM(W491:W497)</f>
        <v>1572</v>
      </c>
      <c r="AH497" s="33">
        <f t="shared" ref="AH497" si="1812">SUM(D468:D901)</f>
        <v>1118426380.060914</v>
      </c>
      <c r="AI497" s="213">
        <f t="shared" ref="AI497" si="1813">+(AG497-AG490)/AG490</f>
        <v>0.15843773028739869</v>
      </c>
      <c r="AJ497" s="50"/>
      <c r="AK497" s="111"/>
      <c r="AL497" s="23">
        <f t="shared" ref="AL497" si="1814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15">+AL497/AP496</f>
        <v>7.8930486636114917E-4</v>
      </c>
      <c r="AS497" s="25"/>
      <c r="AT497" s="25"/>
      <c r="AU497" s="24"/>
      <c r="AV497" s="298">
        <f t="shared" ref="AV497" si="1816">+AP497/H497</f>
        <v>0.85404840092080592</v>
      </c>
      <c r="AW497" s="298"/>
      <c r="AX497" s="24">
        <f t="shared" ref="AX497" si="1817">+AP497/BW497</f>
        <v>60317.973360655735</v>
      </c>
      <c r="AY497" s="308"/>
      <c r="AZ497" s="111"/>
      <c r="BA497" s="65">
        <f t="shared" ref="BA497" si="1818">+BC497-BC496</f>
        <v>673069</v>
      </c>
      <c r="BB497" s="66"/>
      <c r="BC497" s="66">
        <v>518658231</v>
      </c>
      <c r="BD497" s="66"/>
      <c r="BE497" s="66">
        <f t="shared" ref="BE497" si="1819">+D497</f>
        <v>44232</v>
      </c>
      <c r="BF497" s="66"/>
      <c r="BG497" s="144">
        <f t="shared" ref="BG497" si="1820">+BE497/BA497</f>
        <v>6.571688786736575E-2</v>
      </c>
      <c r="BH497" s="66"/>
      <c r="BI497" s="170"/>
      <c r="BJ497" s="66"/>
      <c r="BK497" s="66">
        <f t="shared" ref="BK497" si="1821">SUM(BA491:BA497)</f>
        <v>4958231</v>
      </c>
      <c r="BL497" s="66"/>
      <c r="BM497" s="144">
        <f t="shared" ref="BM497" si="1822">+Q497/BK497</f>
        <v>4.7560712681599546E-2</v>
      </c>
      <c r="BN497" s="65">
        <f t="shared" ref="BN497" si="1823">+BC497/BW497</f>
        <v>1062824.2438524591</v>
      </c>
      <c r="BO497" s="66"/>
      <c r="BP497" s="66">
        <f t="shared" ref="BP497" si="1824">+BP496+BE497</f>
        <v>33558482</v>
      </c>
      <c r="BQ497" s="66"/>
      <c r="BR497" s="435">
        <f t="shared" ref="BR497" si="1825">+BP497/BC497</f>
        <v>6.4702495775103203E-2</v>
      </c>
      <c r="BS497" s="66"/>
      <c r="BT497" s="75"/>
      <c r="BU497" s="170"/>
      <c r="BV497" s="1"/>
      <c r="BW497" s="61">
        <f t="shared" si="1175"/>
        <v>488</v>
      </c>
    </row>
    <row r="498" spans="2:75" x14ac:dyDescent="0.3">
      <c r="B498" s="158">
        <f t="shared" si="424"/>
        <v>44398</v>
      </c>
      <c r="C498" s="61"/>
      <c r="D498" s="17">
        <v>56525</v>
      </c>
      <c r="E498" s="16"/>
      <c r="F498" s="16"/>
      <c r="G498" s="16"/>
      <c r="H498" s="16">
        <f t="shared" ref="H498" si="1826">+H497+D498</f>
        <v>34521985</v>
      </c>
      <c r="I498" s="16"/>
      <c r="J498" s="436">
        <f t="shared" ref="J498" si="1827">+D498/H497</f>
        <v>1.6400477463524351E-3</v>
      </c>
      <c r="K498" s="16"/>
      <c r="L498" s="16"/>
      <c r="M498" s="16"/>
      <c r="N498" s="16">
        <f t="shared" ref="N498" si="1828">SUM(D492:D498)</f>
        <v>256895</v>
      </c>
      <c r="O498" s="16">
        <f t="shared" ref="O498" si="1829">+H498/BW498</f>
        <v>70597.106339468301</v>
      </c>
      <c r="P498" s="41"/>
      <c r="Q498" s="17">
        <f t="shared" ref="Q498" si="1830">SUM(D492:D498)</f>
        <v>256895</v>
      </c>
      <c r="R498" s="16"/>
      <c r="S498" s="60">
        <f t="shared" ref="S498" si="1831">+(Q498-Q491)/Q491</f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ref="Z498" si="1832">SUM(W493:W498)</f>
        <v>1297</v>
      </c>
      <c r="AA498" s="33">
        <f t="shared" ref="AA498" si="1833">+AA497+W498</f>
        <v>609766</v>
      </c>
      <c r="AB498" s="33"/>
      <c r="AC498" s="46">
        <f t="shared" ref="AC498" si="1834">+AA498/H498</f>
        <v>1.7663121051700821E-2</v>
      </c>
      <c r="AD498" s="33"/>
      <c r="AE498" s="33">
        <f t="shared" ref="AE498" si="1835">+AA498/BW498</f>
        <v>1246.9652351738241</v>
      </c>
      <c r="AF498" s="50"/>
      <c r="AG498" s="33">
        <f t="shared" ref="AG498" si="1836">SUM(W492:W498)</f>
        <v>1641</v>
      </c>
      <c r="AH498" s="33">
        <f t="shared" ref="AH498" si="1837">SUM(D469:D902)</f>
        <v>1118416625.060914</v>
      </c>
      <c r="AI498" s="213">
        <f t="shared" ref="AI498" si="1838">+(AG498-AG491)/AG491</f>
        <v>0.12938747419132829</v>
      </c>
      <c r="AJ498" s="50"/>
      <c r="AK498" s="111"/>
      <c r="AL498" s="23">
        <f t="shared" ref="AL498" si="1839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0">+AL498/AP497</f>
        <v>7.8925989592518425E-4</v>
      </c>
      <c r="AS498" s="25"/>
      <c r="AT498" s="25"/>
      <c r="AU498" s="24"/>
      <c r="AV498" s="298">
        <f t="shared" ref="AV498" si="1841">+AP498/H498</f>
        <v>0.85332297664806933</v>
      </c>
      <c r="AW498" s="298"/>
      <c r="AX498" s="24">
        <f t="shared" ref="AX498" si="1842">+AP498/BW498</f>
        <v>60242.132924335376</v>
      </c>
      <c r="AY498" s="308"/>
      <c r="AZ498" s="111"/>
      <c r="BA498" s="65">
        <f t="shared" ref="BA498" si="1843">+BC498-BC497</f>
        <v>822020</v>
      </c>
      <c r="BB498" s="66"/>
      <c r="BC498" s="66">
        <v>519480251</v>
      </c>
      <c r="BD498" s="66"/>
      <c r="BE498" s="66">
        <f t="shared" ref="BE498" si="1844">+D498</f>
        <v>56525</v>
      </c>
      <c r="BF498" s="66"/>
      <c r="BG498" s="144">
        <f t="shared" ref="BG498" si="1845">+BE498/BA498</f>
        <v>6.8763533733972412E-2</v>
      </c>
      <c r="BH498" s="66"/>
      <c r="BI498" s="170"/>
      <c r="BJ498" s="66"/>
      <c r="BK498" s="66">
        <f t="shared" ref="BK498" si="1846">SUM(BA492:BA498)</f>
        <v>4905831</v>
      </c>
      <c r="BL498" s="66"/>
      <c r="BM498" s="144">
        <f t="shared" ref="BM498" si="1847">+Q498/BK498</f>
        <v>5.2365236389105126E-2</v>
      </c>
      <c r="BN498" s="65">
        <f t="shared" ref="BN498" si="1848">+BC498/BW498</f>
        <v>1062331.8016359918</v>
      </c>
      <c r="BO498" s="66"/>
      <c r="BP498" s="66">
        <f t="shared" ref="BP498" si="1849">+BP497+BE498</f>
        <v>33615007</v>
      </c>
      <c r="BQ498" s="66"/>
      <c r="BR498" s="435">
        <f t="shared" ref="BR498" si="1850">+BP498/BC498</f>
        <v>6.4708921918188569E-2</v>
      </c>
      <c r="BS498" s="66"/>
      <c r="BT498" s="75"/>
      <c r="BU498" s="170"/>
      <c r="BV498" s="1"/>
      <c r="BW498" s="61">
        <f t="shared" si="1175"/>
        <v>489</v>
      </c>
    </row>
    <row r="499" spans="2:75" x14ac:dyDescent="0.3">
      <c r="B499" s="158">
        <f t="shared" si="424"/>
        <v>44399</v>
      </c>
      <c r="C499" s="61"/>
      <c r="D499" s="17">
        <v>61651</v>
      </c>
      <c r="E499" s="16"/>
      <c r="F499" s="16"/>
      <c r="G499" s="16"/>
      <c r="H499" s="16">
        <f t="shared" ref="H499" si="1851">+H498+D499</f>
        <v>34583636</v>
      </c>
      <c r="I499" s="16"/>
      <c r="J499" s="436">
        <f t="shared" ref="J499" si="1852">+D499/H498</f>
        <v>1.7858474824086737E-3</v>
      </c>
      <c r="K499" s="16"/>
      <c r="L499" s="16"/>
      <c r="M499" s="16"/>
      <c r="N499" s="16">
        <f t="shared" ref="N499" si="1853">SUM(D493:D499)</f>
        <v>281872</v>
      </c>
      <c r="O499" s="16">
        <f t="shared" ref="O499" si="1854">+H499/BW499</f>
        <v>70578.848979591843</v>
      </c>
      <c r="P499" s="41"/>
      <c r="Q499" s="17">
        <f t="shared" ref="Q499" si="1855">SUM(D493:D499)</f>
        <v>281872</v>
      </c>
      <c r="R499" s="16"/>
      <c r="S499" s="60">
        <f t="shared" ref="S499" si="1856">+(Q499-Q492)/Q492</f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ref="Z499" si="1857">SUM(W494:W499)</f>
        <v>1369</v>
      </c>
      <c r="AA499" s="33">
        <f t="shared" ref="AA499" si="1858">+AA498+W499</f>
        <v>610131</v>
      </c>
      <c r="AB499" s="33"/>
      <c r="AC499" s="46">
        <f t="shared" ref="AC499" si="1859">+AA499/H499</f>
        <v>1.7642187767648261E-2</v>
      </c>
      <c r="AD499" s="33"/>
      <c r="AE499" s="33">
        <f t="shared" ref="AE499" si="1860">+AA499/BW499</f>
        <v>1245.165306122449</v>
      </c>
      <c r="AF499" s="50"/>
      <c r="AG499" s="33">
        <f t="shared" ref="AG499" si="1861">SUM(W493:W499)</f>
        <v>1662</v>
      </c>
      <c r="AH499" s="33">
        <f t="shared" ref="AH499" si="1862">SUM(D470:D903)</f>
        <v>1118403751.060914</v>
      </c>
      <c r="AI499" s="213">
        <f t="shared" ref="AI499" si="1863">+(AG499-AG492)/AG492</f>
        <v>8.203125E-2</v>
      </c>
      <c r="AJ499" s="50"/>
      <c r="AK499" s="111"/>
      <c r="AL499" s="23">
        <f t="shared" ref="AL499" si="1864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65">+AL499/AP498</f>
        <v>6.7111581031734817E-4</v>
      </c>
      <c r="AS499" s="25"/>
      <c r="AT499" s="25"/>
      <c r="AU499" s="24"/>
      <c r="AV499" s="298">
        <f t="shared" ref="AV499" si="1866">+AP499/H499</f>
        <v>0.85237344621600808</v>
      </c>
      <c r="AW499" s="298"/>
      <c r="AX499" s="24">
        <f t="shared" ref="AX499" si="1867">+AP499/BW499</f>
        <v>60159.53673469388</v>
      </c>
      <c r="AY499" s="308"/>
      <c r="AZ499" s="111"/>
      <c r="BA499" s="65">
        <f t="shared" ref="BA499" si="1868">+BC499-BC498</f>
        <v>931237</v>
      </c>
      <c r="BB499" s="66"/>
      <c r="BC499" s="66">
        <v>520411488</v>
      </c>
      <c r="BD499" s="66"/>
      <c r="BE499" s="66">
        <f t="shared" ref="BE499" si="1869">+D499</f>
        <v>61651</v>
      </c>
      <c r="BF499" s="66"/>
      <c r="BG499" s="144">
        <f t="shared" ref="BG499" si="1870">+BE499/BA499</f>
        <v>6.6203340288240264E-2</v>
      </c>
      <c r="BH499" s="66"/>
      <c r="BI499" s="170"/>
      <c r="BJ499" s="66"/>
      <c r="BK499" s="66">
        <f t="shared" ref="BK499" si="1871">SUM(BA493:BA499)</f>
        <v>5199462</v>
      </c>
      <c r="BL499" s="66"/>
      <c r="BM499" s="144">
        <f t="shared" ref="BM499" si="1872">+Q499/BK499</f>
        <v>5.4211762678523276E-2</v>
      </c>
      <c r="BN499" s="65">
        <f t="shared" ref="BN499" si="1873">+BC499/BW499</f>
        <v>1062064.2612244899</v>
      </c>
      <c r="BO499" s="66"/>
      <c r="BP499" s="66">
        <f t="shared" ref="BP499" si="1874">+BP498+BE499</f>
        <v>33676658</v>
      </c>
      <c r="BQ499" s="66"/>
      <c r="BR499" s="435">
        <f t="shared" ref="BR499" si="1875">+BP499/BC499</f>
        <v>6.4711596066841626E-2</v>
      </c>
      <c r="BS499" s="66"/>
      <c r="BT499" s="75"/>
      <c r="BU499" s="170"/>
      <c r="BV499" s="1"/>
      <c r="BW499" s="61">
        <f t="shared" si="1175"/>
        <v>490</v>
      </c>
    </row>
    <row r="500" spans="2:75" x14ac:dyDescent="0.3">
      <c r="B500" s="158">
        <f t="shared" si="424"/>
        <v>44400</v>
      </c>
      <c r="C500" s="61"/>
      <c r="D500" s="17">
        <v>67485</v>
      </c>
      <c r="E500" s="16"/>
      <c r="F500" s="16"/>
      <c r="G500" s="16"/>
      <c r="H500" s="16">
        <f t="shared" ref="H500" si="1876">+H499+D500</f>
        <v>34651121</v>
      </c>
      <c r="I500" s="16"/>
      <c r="J500" s="436">
        <f t="shared" ref="J500" si="1877">+D500/H499</f>
        <v>1.9513564160807152E-3</v>
      </c>
      <c r="K500" s="16"/>
      <c r="L500" s="16"/>
      <c r="M500" s="16"/>
      <c r="N500" s="16">
        <f t="shared" ref="N500" si="1878">SUM(D494:D500)</f>
        <v>308828</v>
      </c>
      <c r="O500" s="16">
        <f t="shared" ref="O500" si="1879">+H500/BW500</f>
        <v>70572.547861507133</v>
      </c>
      <c r="P500" s="41"/>
      <c r="Q500" s="17">
        <f t="shared" ref="Q500" si="1880">SUM(D494:D500)</f>
        <v>308828</v>
      </c>
      <c r="R500" s="16"/>
      <c r="S500" s="60">
        <f t="shared" ref="S500" si="1881">+(Q500-Q493)/Q493</f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ref="Z500" si="1882">SUM(W495:W500)</f>
        <v>1684</v>
      </c>
      <c r="AA500" s="33">
        <f t="shared" ref="AA500" si="1883">+AA499+W500</f>
        <v>610559</v>
      </c>
      <c r="AB500" s="33"/>
      <c r="AC500" s="46">
        <f t="shared" ref="AC500" si="1884">+AA500/H500</f>
        <v>1.7620180311049678E-2</v>
      </c>
      <c r="AD500" s="33"/>
      <c r="AE500" s="33">
        <f t="shared" ref="AE500" si="1885">+AA500/BW500</f>
        <v>1243.5010183299389</v>
      </c>
      <c r="AF500" s="50"/>
      <c r="AG500" s="33">
        <f t="shared" ref="AG500" si="1886">SUM(W494:W500)</f>
        <v>1797</v>
      </c>
      <c r="AH500" s="33">
        <f t="shared" ref="AH500" si="1887">SUM(D471:D904)</f>
        <v>1118390386.060914</v>
      </c>
      <c r="AI500" s="213">
        <f t="shared" ref="AI500" si="1888">+(AG500-AG493)/AG493</f>
        <v>0.22829801777170197</v>
      </c>
      <c r="AJ500" s="50"/>
      <c r="AK500" s="111"/>
      <c r="AL500" s="23">
        <f t="shared" ref="AL500" si="1889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0">+AL500/AP499</f>
        <v>6.6835892441502399E-4</v>
      </c>
      <c r="AS500" s="25"/>
      <c r="AT500" s="25"/>
      <c r="AU500" s="24"/>
      <c r="AV500" s="298">
        <f t="shared" ref="AV500" si="1891">+AP500/H500</f>
        <v>0.85128198305619029</v>
      </c>
      <c r="AW500" s="298"/>
      <c r="AX500" s="24">
        <f t="shared" ref="AX500" si="1892">+AP500/BW500</f>
        <v>60077.138492871687</v>
      </c>
      <c r="AY500" s="308"/>
      <c r="AZ500" s="111"/>
      <c r="BA500" s="65">
        <f t="shared" ref="BA500" si="1893">+BC500-BC499</f>
        <v>930368</v>
      </c>
      <c r="BB500" s="66"/>
      <c r="BC500" s="66">
        <v>521341856</v>
      </c>
      <c r="BD500" s="66"/>
      <c r="BE500" s="66">
        <f t="shared" ref="BE500" si="1894">+D500</f>
        <v>67485</v>
      </c>
      <c r="BF500" s="66"/>
      <c r="BG500" s="144">
        <f t="shared" ref="BG500" si="1895">+BE500/BA500</f>
        <v>7.2535813785512826E-2</v>
      </c>
      <c r="BH500" s="66"/>
      <c r="BI500" s="170"/>
      <c r="BJ500" s="66"/>
      <c r="BK500" s="66">
        <f t="shared" ref="BK500" si="1896">SUM(BA494:BA500)</f>
        <v>5277054</v>
      </c>
      <c r="BL500" s="66"/>
      <c r="BM500" s="144">
        <f t="shared" ref="BM500" si="1897">+Q500/BK500</f>
        <v>5.8522804579979666E-2</v>
      </c>
      <c r="BN500" s="65">
        <f t="shared" ref="BN500" si="1898">+BC500/BW500</f>
        <v>1061796.0407331975</v>
      </c>
      <c r="BO500" s="66"/>
      <c r="BP500" s="66">
        <f t="shared" ref="BP500" si="1899">+BP499+BE500</f>
        <v>33744143</v>
      </c>
      <c r="BQ500" s="66"/>
      <c r="BR500" s="435">
        <f t="shared" ref="BR500" si="1900">+BP500/BC500</f>
        <v>6.4725558885492598E-2</v>
      </c>
      <c r="BS500" s="66"/>
      <c r="BT500" s="75"/>
      <c r="BU500" s="170"/>
      <c r="BV500" s="1"/>
      <c r="BW500" s="61">
        <f t="shared" si="1175"/>
        <v>491</v>
      </c>
    </row>
    <row r="501" spans="2:75" x14ac:dyDescent="0.3">
      <c r="B501" s="158">
        <f t="shared" si="424"/>
        <v>44401</v>
      </c>
      <c r="C501" s="61"/>
      <c r="D501" s="17">
        <v>36779</v>
      </c>
      <c r="E501" s="16"/>
      <c r="F501" s="16"/>
      <c r="G501" s="16"/>
      <c r="H501" s="16">
        <f t="shared" ref="H501" si="1901">+H500+D501</f>
        <v>34687900</v>
      </c>
      <c r="I501" s="16"/>
      <c r="J501" s="436">
        <f t="shared" ref="J501" si="1902">+D501/H500</f>
        <v>1.061408662651924E-3</v>
      </c>
      <c r="K501" s="16"/>
      <c r="L501" s="16"/>
      <c r="M501" s="16"/>
      <c r="N501" s="16">
        <f t="shared" ref="N501" si="1903">SUM(D495:D501)</f>
        <v>321526</v>
      </c>
      <c r="O501" s="16">
        <f t="shared" ref="O501" si="1904">+H501/BW501</f>
        <v>70503.861788617884</v>
      </c>
      <c r="P501" s="41"/>
      <c r="Q501" s="17">
        <f t="shared" ref="Q501" si="1905">SUM(D495:D501)</f>
        <v>321526</v>
      </c>
      <c r="R501" s="16"/>
      <c r="S501" s="60">
        <f t="shared" ref="S501" si="1906">+(Q501-Q494)/Q494</f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ref="Z501" si="1907">SUM(W496:W501)</f>
        <v>1753</v>
      </c>
      <c r="AA501" s="33">
        <f t="shared" ref="AA501" si="1908">+AA500+W501</f>
        <v>610710</v>
      </c>
      <c r="AB501" s="33"/>
      <c r="AC501" s="46">
        <f t="shared" ref="AC501" si="1909">+AA501/H501</f>
        <v>1.7605851031627744E-2</v>
      </c>
      <c r="AD501" s="33"/>
      <c r="AE501" s="33">
        <f t="shared" ref="AE501" si="1910">+AA501/BW501</f>
        <v>1241.280487804878</v>
      </c>
      <c r="AF501" s="50"/>
      <c r="AG501" s="33">
        <f t="shared" ref="AG501" si="1911">SUM(W495:W501)</f>
        <v>1835</v>
      </c>
      <c r="AH501" s="33">
        <f t="shared" ref="AH501" si="1912">SUM(D472:D905)</f>
        <v>1118374926.060914</v>
      </c>
      <c r="AI501" s="213">
        <f t="shared" ref="AI501" si="1913">+(AG501-AG494)/AG494</f>
        <v>0.25857338820301784</v>
      </c>
      <c r="AJ501" s="50"/>
      <c r="AK501" s="111"/>
      <c r="AL501" s="23">
        <f t="shared" ref="AL501" si="1914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15">+AL501/AP500</f>
        <v>3.1351410906717855E-4</v>
      </c>
      <c r="AS501" s="25"/>
      <c r="AT501" s="25"/>
      <c r="AU501" s="24"/>
      <c r="AV501" s="298">
        <f t="shared" ref="AV501" si="1916">+AP501/H501</f>
        <v>0.85064598894715449</v>
      </c>
      <c r="AW501" s="298"/>
      <c r="AX501" s="24">
        <f t="shared" ref="AX501" si="1917">+AP501/BW501</f>
        <v>59973.827235772354</v>
      </c>
      <c r="AY501" s="308"/>
      <c r="AZ501" s="111"/>
      <c r="BA501" s="65">
        <f t="shared" ref="BA501" si="1918">+BC501-BC500</f>
        <v>393453</v>
      </c>
      <c r="BB501" s="66"/>
      <c r="BC501" s="66">
        <v>521735309</v>
      </c>
      <c r="BD501" s="66"/>
      <c r="BE501" s="66">
        <f t="shared" ref="BE501" si="1919">+D501</f>
        <v>36779</v>
      </c>
      <c r="BF501" s="66"/>
      <c r="BG501" s="144">
        <f t="shared" ref="BG501" si="1920">+BE501/BA501</f>
        <v>9.3477492864459027E-2</v>
      </c>
      <c r="BH501" s="66"/>
      <c r="BI501" s="170"/>
      <c r="BJ501" s="66"/>
      <c r="BK501" s="66">
        <f t="shared" ref="BK501" si="1921">SUM(BA495:BA501)</f>
        <v>5457647</v>
      </c>
      <c r="BL501" s="66"/>
      <c r="BM501" s="144">
        <f t="shared" ref="BM501" si="1922">+Q501/BK501</f>
        <v>5.8912934456918892E-2</v>
      </c>
      <c r="BN501" s="65">
        <f t="shared" ref="BN501" si="1923">+BC501/BW501</f>
        <v>1060437.6199186991</v>
      </c>
      <c r="BO501" s="66"/>
      <c r="BP501" s="66">
        <f t="shared" ref="BP501" si="1924">+BP500+BE501</f>
        <v>33780922</v>
      </c>
      <c r="BQ501" s="66"/>
      <c r="BR501" s="435">
        <f t="shared" ref="BR501" si="1925">+BP501/BC501</f>
        <v>6.4747241402440717E-2</v>
      </c>
      <c r="BS501" s="66"/>
      <c r="BT501" s="75"/>
      <c r="BU501" s="170"/>
      <c r="BV501" s="1"/>
      <c r="BW501" s="61">
        <f t="shared" si="1175"/>
        <v>492</v>
      </c>
    </row>
    <row r="502" spans="2:75" x14ac:dyDescent="0.3">
      <c r="B502" s="347">
        <f t="shared" si="424"/>
        <v>44402</v>
      </c>
      <c r="C502" s="61"/>
      <c r="D502" s="17">
        <v>13818</v>
      </c>
      <c r="E502" s="16"/>
      <c r="F502" s="16"/>
      <c r="G502" s="16"/>
      <c r="H502" s="16">
        <f t="shared" ref="H502" si="1926">+H501+D502</f>
        <v>34701718</v>
      </c>
      <c r="I502" s="16"/>
      <c r="J502" s="436">
        <f t="shared" ref="J502" si="1927">+D502/H501</f>
        <v>3.9835216314622676E-4</v>
      </c>
      <c r="K502" s="16"/>
      <c r="L502" s="16"/>
      <c r="M502" s="16"/>
      <c r="N502" s="16">
        <f t="shared" ref="N502" si="1928">SUM(D496:D502)</f>
        <v>313066</v>
      </c>
      <c r="O502" s="16">
        <f t="shared" ref="O502" si="1929">+H502/BW502</f>
        <v>70388.880324543614</v>
      </c>
      <c r="P502" s="41"/>
      <c r="Q502" s="17">
        <f t="shared" ref="Q502" si="1930">SUM(D496:D502)</f>
        <v>313066</v>
      </c>
      <c r="R502" s="16"/>
      <c r="S502" s="60">
        <f t="shared" ref="S502" si="1931">+(Q502-Q495)/Q495</f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ref="Z502" si="1932">SUM(W497:W502)</f>
        <v>1665</v>
      </c>
      <c r="AA502" s="33">
        <f t="shared" ref="AA502" si="1933">+AA501+W502</f>
        <v>610759</v>
      </c>
      <c r="AB502" s="33"/>
      <c r="AC502" s="46">
        <f t="shared" ref="AC502" si="1934">+AA502/H502</f>
        <v>1.7600252529283995E-2</v>
      </c>
      <c r="AD502" s="33"/>
      <c r="AE502" s="33">
        <f t="shared" ref="AE502" si="1935">+AA502/BW502</f>
        <v>1238.8620689655172</v>
      </c>
      <c r="AF502" s="50"/>
      <c r="AG502" s="33">
        <f t="shared" ref="AG502" si="1936">SUM(W496:W502)</f>
        <v>1802</v>
      </c>
      <c r="AH502" s="33">
        <f t="shared" ref="AH502" si="1937">SUM(D473:D906)</f>
        <v>1118359389.060914</v>
      </c>
      <c r="AI502" s="213">
        <f t="shared" ref="AI502" si="1938">+(AG502-AG495)/AG495</f>
        <v>0.19101123595505617</v>
      </c>
      <c r="AJ502" s="50"/>
      <c r="AK502" s="111"/>
      <c r="AL502" s="23">
        <f t="shared" ref="AL502" si="1939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0">+AL502/AP501</f>
        <v>1.6219812416141011E-4</v>
      </c>
      <c r="AS502" s="25"/>
      <c r="AT502" s="25"/>
      <c r="AU502" s="24"/>
      <c r="AV502" s="298">
        <f t="shared" ref="AV502" si="1941">+AP502/H502</f>
        <v>0.85044518545162517</v>
      </c>
      <c r="AW502" s="298"/>
      <c r="AX502" s="24">
        <f t="shared" ref="AX502" si="1942">+AP502/BW502</f>
        <v>59861.884381338743</v>
      </c>
      <c r="AY502" s="308"/>
      <c r="AZ502" s="111"/>
      <c r="BA502" s="65">
        <f t="shared" ref="BA502" si="1943">+BC502-BC501</f>
        <v>1873647</v>
      </c>
      <c r="BB502" s="66"/>
      <c r="BC502" s="66">
        <v>523608956</v>
      </c>
      <c r="BD502" s="66"/>
      <c r="BE502" s="66">
        <f t="shared" ref="BE502" si="1944">+D502</f>
        <v>13818</v>
      </c>
      <c r="BF502" s="66"/>
      <c r="BG502" s="144">
        <f t="shared" ref="BG502" si="1945">+BE502/BA502</f>
        <v>7.3749217435301311E-3</v>
      </c>
      <c r="BH502" s="66"/>
      <c r="BI502" s="170"/>
      <c r="BJ502" s="66"/>
      <c r="BK502" s="66">
        <f t="shared" ref="BK502" si="1946">SUM(BA496:BA502)</f>
        <v>6238420</v>
      </c>
      <c r="BL502" s="66"/>
      <c r="BM502" s="144">
        <f t="shared" ref="BM502" si="1947">+Q502/BK502</f>
        <v>5.0183540063028782E-2</v>
      </c>
      <c r="BN502" s="65">
        <f t="shared" ref="BN502" si="1948">+BC502/BW502</f>
        <v>1062087.1318458419</v>
      </c>
      <c r="BO502" s="66"/>
      <c r="BP502" s="66">
        <f t="shared" ref="BP502" si="1949">+BP501+BE502</f>
        <v>33794740</v>
      </c>
      <c r="BQ502" s="66"/>
      <c r="BR502" s="435">
        <f t="shared" ref="BR502" si="1950">+BP502/BC502</f>
        <v>6.4541944160328685E-2</v>
      </c>
      <c r="BS502" s="66"/>
      <c r="BT502" s="75"/>
      <c r="BU502" s="170"/>
      <c r="BV502" s="1"/>
      <c r="BW502" s="61">
        <f t="shared" si="1175"/>
        <v>493</v>
      </c>
    </row>
    <row r="503" spans="2:75" x14ac:dyDescent="0.3">
      <c r="B503" s="158">
        <f t="shared" si="424"/>
        <v>44403</v>
      </c>
      <c r="C503" s="61"/>
      <c r="D503" s="17">
        <v>35816</v>
      </c>
      <c r="E503" s="16"/>
      <c r="F503" s="16"/>
      <c r="G503" s="16"/>
      <c r="H503" s="16">
        <f t="shared" ref="H503" si="1951">+H502+D503</f>
        <v>34737534</v>
      </c>
      <c r="I503" s="16"/>
      <c r="J503" s="436">
        <f t="shared" ref="J503" si="1952">+D503/H502</f>
        <v>1.0321102834159393E-3</v>
      </c>
      <c r="K503" s="16"/>
      <c r="L503" s="16"/>
      <c r="M503" s="16"/>
      <c r="N503" s="16">
        <f t="shared" ref="N503" si="1953">SUM(D497:D503)</f>
        <v>316306</v>
      </c>
      <c r="O503" s="16">
        <f t="shared" ref="O503" si="1954">+H503/BW503</f>
        <v>70318.894736842107</v>
      </c>
      <c r="P503" s="41"/>
      <c r="Q503" s="17">
        <f t="shared" ref="Q503" si="1955">SUM(D497:D503)</f>
        <v>316306</v>
      </c>
      <c r="R503" s="16"/>
      <c r="S503" s="60">
        <f t="shared" ref="S503" si="1956">+(Q503-Q496)/Q496</f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ref="Z503" si="1957">SUM(W498:W503)</f>
        <v>1541</v>
      </c>
      <c r="AA503" s="33">
        <f t="shared" ref="AA503" si="1958">+AA502+W503</f>
        <v>610891</v>
      </c>
      <c r="AB503" s="33"/>
      <c r="AC503" s="46">
        <f t="shared" ref="AC503" si="1959">+AA503/H503</f>
        <v>1.7585905781337272E-2</v>
      </c>
      <c r="AD503" s="33"/>
      <c r="AE503" s="33">
        <f t="shared" ref="AE503" si="1960">+AA503/BW503</f>
        <v>1236.6214574898786</v>
      </c>
      <c r="AF503" s="50"/>
      <c r="AG503" s="33">
        <f t="shared" ref="AG503" si="1961">SUM(W497:W503)</f>
        <v>1797</v>
      </c>
      <c r="AH503" s="33">
        <f t="shared" ref="AH503" si="1962">SUM(D474:D907)</f>
        <v>1118352803.060914</v>
      </c>
      <c r="AI503" s="213">
        <f t="shared" ref="AI503" si="1963">+(AG503-AG496)/AG496</f>
        <v>0.20847343644922664</v>
      </c>
      <c r="AJ503" s="50"/>
      <c r="AK503" s="111"/>
      <c r="AL503" s="23">
        <f t="shared" ref="AL503" si="1964">+AP503-AP502</f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ref="AR503" si="1965">+AL503/AP502</f>
        <v>1.2387880431591193E-3</v>
      </c>
      <c r="AS503" s="25"/>
      <c r="AT503" s="25"/>
      <c r="AU503" s="24"/>
      <c r="AV503" s="298">
        <f t="shared" ref="AV503" si="1966">+AP503/H503</f>
        <v>0.85062077233231348</v>
      </c>
      <c r="AW503" s="298"/>
      <c r="AX503" s="24">
        <f t="shared" ref="AX503" si="1967">+AP503/BW503</f>
        <v>59814.712550607284</v>
      </c>
      <c r="AY503" s="308"/>
      <c r="AZ503" s="111"/>
      <c r="BA503" s="65">
        <f t="shared" ref="BA503" si="1968">+BC503-BC502</f>
        <v>2374930</v>
      </c>
      <c r="BB503" s="66"/>
      <c r="BC503" s="66">
        <v>525983886</v>
      </c>
      <c r="BD503" s="66"/>
      <c r="BE503" s="66">
        <f t="shared" ref="BE503" si="1969">+D503</f>
        <v>35816</v>
      </c>
      <c r="BF503" s="66"/>
      <c r="BG503" s="144">
        <f t="shared" ref="BG503" si="1970">+BE503/BA503</f>
        <v>1.5080865541300165E-2</v>
      </c>
      <c r="BH503" s="66"/>
      <c r="BI503" s="170"/>
      <c r="BJ503" s="66"/>
      <c r="BK503" s="66">
        <f t="shared" ref="BK503" si="1971">SUM(BA497:BA503)</f>
        <v>7998724</v>
      </c>
      <c r="BL503" s="66"/>
      <c r="BM503" s="144">
        <f t="shared" ref="BM503" si="1972">+Q503/BK503</f>
        <v>3.9544557356898428E-2</v>
      </c>
      <c r="BN503" s="65">
        <f t="shared" ref="BN503" si="1973">+BC503/BW503</f>
        <v>1064744.7085020242</v>
      </c>
      <c r="BO503" s="66"/>
      <c r="BP503" s="66">
        <f t="shared" ref="BP503" si="1974">+BP502+BE503</f>
        <v>33830556</v>
      </c>
      <c r="BQ503" s="66"/>
      <c r="BR503" s="435">
        <f t="shared" ref="BR503" si="1975">+BP503/BC503</f>
        <v>6.4318616787435196E-2</v>
      </c>
      <c r="BS503" s="66"/>
      <c r="BT503" s="75"/>
      <c r="BU503" s="170"/>
      <c r="BV503" s="1"/>
      <c r="BW503" s="61">
        <f t="shared" si="1175"/>
        <v>494</v>
      </c>
    </row>
    <row r="504" spans="2:75" x14ac:dyDescent="0.3">
      <c r="B504" s="158">
        <f t="shared" si="424"/>
        <v>44404</v>
      </c>
      <c r="C504" s="61"/>
      <c r="D504" s="17">
        <v>61581</v>
      </c>
      <c r="E504" s="16"/>
      <c r="F504" s="16"/>
      <c r="G504" s="16"/>
      <c r="H504" s="16">
        <f t="shared" ref="H504" si="1976">+H503+D504</f>
        <v>34799115</v>
      </c>
      <c r="I504" s="16"/>
      <c r="J504" s="436">
        <f t="shared" ref="J504" si="1977">+D504/H503</f>
        <v>1.7727510536585584E-3</v>
      </c>
      <c r="K504" s="16"/>
      <c r="L504" s="16"/>
      <c r="M504" s="16"/>
      <c r="N504" s="16">
        <f t="shared" ref="N504" si="1978">SUM(D498:D504)</f>
        <v>333655</v>
      </c>
      <c r="O504" s="16">
        <f t="shared" ref="O504" si="1979">+H504/BW504</f>
        <v>70301.242424242431</v>
      </c>
      <c r="P504" s="41"/>
      <c r="Q504" s="17">
        <f t="shared" ref="Q504" si="1980">SUM(D498:D504)</f>
        <v>333655</v>
      </c>
      <c r="R504" s="16"/>
      <c r="S504" s="60">
        <f t="shared" ref="S504" si="1981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" si="1982">SUM(W499:W504)</f>
        <v>1464</v>
      </c>
      <c r="AA504" s="33">
        <f t="shared" ref="AA504" si="1983">+AA503+W504</f>
        <v>611230</v>
      </c>
      <c r="AB504" s="33"/>
      <c r="AC504" s="46">
        <f t="shared" ref="AC504" si="1984">+AA504/H504</f>
        <v>1.7564527143865583E-2</v>
      </c>
      <c r="AD504" s="33"/>
      <c r="AE504" s="33">
        <f t="shared" ref="AE504" si="1985">+AA504/BW504</f>
        <v>1234.8080808080808</v>
      </c>
      <c r="AF504" s="50"/>
      <c r="AG504" s="33">
        <f t="shared" ref="AG504" si="1986">SUM(W498:W504)</f>
        <v>1880</v>
      </c>
      <c r="AH504" s="33">
        <f t="shared" ref="AH504" si="1987">SUM(D475:D908)</f>
        <v>1118345497.060914</v>
      </c>
      <c r="AI504" s="213">
        <f t="shared" ref="AI504" si="1988">+(AG504-AG497)/AG497</f>
        <v>0.19592875318066158</v>
      </c>
      <c r="AJ504" s="50"/>
      <c r="AK504" s="111"/>
      <c r="AL504" s="23">
        <f t="shared" ref="AL504" si="1989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" si="1990">+AL504/AP503</f>
        <v>7.7723149640109934E-4</v>
      </c>
      <c r="AS504" s="25"/>
      <c r="AT504" s="25"/>
      <c r="AU504" s="24"/>
      <c r="AV504" s="298">
        <f t="shared" ref="AV504" si="1991">+AP504/H504</f>
        <v>0.84977546124377012</v>
      </c>
      <c r="AW504" s="298"/>
      <c r="AX504" s="24">
        <f t="shared" ref="AX504" si="1992">+AP504/BW504</f>
        <v>59740.270707070704</v>
      </c>
      <c r="AY504" s="308"/>
      <c r="AZ504" s="111"/>
      <c r="BA504" s="65">
        <f t="shared" ref="BA504:BA505" si="1993">+BC504-BC503</f>
        <v>892346</v>
      </c>
      <c r="BB504" s="66"/>
      <c r="BC504" s="66">
        <v>526876232</v>
      </c>
      <c r="BD504" s="66"/>
      <c r="BE504" s="66">
        <f t="shared" ref="BE504" si="1994">+D504</f>
        <v>61581</v>
      </c>
      <c r="BF504" s="66"/>
      <c r="BG504" s="144">
        <f t="shared" ref="BG504" si="1995">+BE504/BA504</f>
        <v>6.9010226974738492E-2</v>
      </c>
      <c r="BH504" s="66"/>
      <c r="BI504" s="170"/>
      <c r="BJ504" s="66"/>
      <c r="BK504" s="66">
        <f t="shared" ref="BK504" si="1996">SUM(BA498:BA504)</f>
        <v>8218001</v>
      </c>
      <c r="BL504" s="66"/>
      <c r="BM504" s="144">
        <f t="shared" ref="BM504" si="1997">+Q504/BK504</f>
        <v>4.060050613281746E-2</v>
      </c>
      <c r="BN504" s="65">
        <f t="shared" ref="BN504" si="1998">+BC504/BW504</f>
        <v>1064396.4282828283</v>
      </c>
      <c r="BO504" s="66"/>
      <c r="BP504" s="66">
        <f t="shared" ref="BP504" si="1999">+BP503+BE504</f>
        <v>33892137</v>
      </c>
      <c r="BQ504" s="66"/>
      <c r="BR504" s="435">
        <f t="shared" ref="BR504" si="2000">+BP504/BC504</f>
        <v>6.4326562751458483E-2</v>
      </c>
      <c r="BS504" s="66"/>
      <c r="BT504" s="75"/>
      <c r="BU504" s="170"/>
      <c r="BV504" s="1"/>
      <c r="BW504" s="61">
        <f t="shared" si="1175"/>
        <v>495</v>
      </c>
    </row>
    <row r="505" spans="2:75" x14ac:dyDescent="0.3">
      <c r="B505" s="158">
        <f t="shared" si="424"/>
        <v>44405</v>
      </c>
      <c r="C505" s="61"/>
      <c r="D505" s="17">
        <v>84534</v>
      </c>
      <c r="E505" s="16"/>
      <c r="F505" s="16"/>
      <c r="G505" s="16"/>
      <c r="H505" s="16">
        <f t="shared" ref="H505" si="2001">+H504+D505</f>
        <v>34883649</v>
      </c>
      <c r="I505" s="16"/>
      <c r="J505" s="436">
        <f t="shared" ref="J505" si="2002">+D505/H504</f>
        <v>2.4291997080960249E-3</v>
      </c>
      <c r="K505" s="16"/>
      <c r="L505" s="16"/>
      <c r="M505" s="16"/>
      <c r="N505" s="16">
        <f t="shared" ref="N505" si="2003">SUM(D499:D505)</f>
        <v>361664</v>
      </c>
      <c r="O505" s="16">
        <f t="shared" ref="O505" si="2004">+H505/BW505</f>
        <v>70329.9375</v>
      </c>
      <c r="P505" s="41"/>
      <c r="Q505" s="17">
        <f t="shared" ref="Q505" si="2005">SUM(D499:D505)</f>
        <v>361664</v>
      </c>
      <c r="R505" s="16"/>
      <c r="S505" s="60">
        <f t="shared" ref="S505" si="2006">+(Q505-Q498)/Q498</f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ref="Z505" si="2007">SUM(W500:W505)</f>
        <v>1582</v>
      </c>
      <c r="AA505" s="33">
        <f t="shared" ref="AA505" si="2008">+AA504+W505</f>
        <v>611713</v>
      </c>
      <c r="AB505" s="33"/>
      <c r="AC505" s="46">
        <f t="shared" ref="AC505" si="2009">+AA505/H505</f>
        <v>1.7535808825504463E-2</v>
      </c>
      <c r="AD505" s="33"/>
      <c r="AE505" s="33">
        <f t="shared" ref="AE505" si="2010">+AA505/BW505</f>
        <v>1233.2923387096773</v>
      </c>
      <c r="AF505" s="50"/>
      <c r="AG505" s="33">
        <f t="shared" ref="AG505" si="2011">SUM(W499:W505)</f>
        <v>1947</v>
      </c>
      <c r="AH505" s="33">
        <f t="shared" ref="AH505" si="2012">SUM(D476:D909)</f>
        <v>1118333515.060914</v>
      </c>
      <c r="AI505" s="213">
        <f t="shared" ref="AI505" si="2013">+(AG505-AG498)/AG498</f>
        <v>0.18647166361974407</v>
      </c>
      <c r="AJ505" s="50"/>
      <c r="AK505" s="111"/>
      <c r="AL505" s="23">
        <f t="shared" ref="AL505" si="2014">+AP505-AP504</f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ref="AR505" si="2015">+AL505/AP504</f>
        <v>1.0998452087240679E-3</v>
      </c>
      <c r="AS505" s="25"/>
      <c r="AT505" s="25"/>
      <c r="AU505" s="24"/>
      <c r="AV505" s="298">
        <f t="shared" ref="AV505" si="2016">+AP505/H505</f>
        <v>0.84864854591330163</v>
      </c>
      <c r="AW505" s="298"/>
      <c r="AX505" s="24">
        <f t="shared" ref="AX505" si="2017">+AP505/BW505</f>
        <v>59685.399193548386</v>
      </c>
      <c r="AY505" s="308"/>
      <c r="AZ505" s="111"/>
      <c r="BA505" s="65">
        <f t="shared" si="1993"/>
        <v>204920</v>
      </c>
      <c r="BB505" s="66"/>
      <c r="BC505" s="66">
        <v>527081152</v>
      </c>
      <c r="BD505" s="66"/>
      <c r="BE505" s="66">
        <f t="shared" ref="BE505" si="2018">+D505</f>
        <v>84534</v>
      </c>
      <c r="BF505" s="66"/>
      <c r="BG505" s="144">
        <f t="shared" ref="BG505" si="2019">+BE505/BA505</f>
        <v>0.41252195978918604</v>
      </c>
      <c r="BH505" s="66"/>
      <c r="BI505" s="170"/>
      <c r="BJ505" s="66"/>
      <c r="BK505" s="66">
        <f t="shared" ref="BK505" si="2020">SUM(BA499:BA505)</f>
        <v>7600901</v>
      </c>
      <c r="BL505" s="66"/>
      <c r="BM505" s="144">
        <f t="shared" ref="BM505" si="2021">+Q505/BK505</f>
        <v>4.7581727482044561E-2</v>
      </c>
      <c r="BN505" s="65">
        <f t="shared" ref="BN505" si="2022">+BC505/BW505</f>
        <v>1062663.6129032257</v>
      </c>
      <c r="BO505" s="66"/>
      <c r="BP505" s="66">
        <f t="shared" ref="BP505" si="2023">+BP504+BE505</f>
        <v>33976671</v>
      </c>
      <c r="BQ505" s="66"/>
      <c r="BR505" s="435">
        <f t="shared" ref="BR505" si="2024">+BP505/BC505</f>
        <v>6.4461935075986174E-2</v>
      </c>
      <c r="BS505" s="66"/>
      <c r="BT505" s="75"/>
      <c r="BU505" s="170"/>
      <c r="BV505" s="1"/>
      <c r="BW505" s="61">
        <f t="shared" si="1175"/>
        <v>496</v>
      </c>
    </row>
    <row r="506" spans="2:75" x14ac:dyDescent="0.3">
      <c r="B506" s="158">
        <f t="shared" si="424"/>
        <v>44406</v>
      </c>
      <c r="C506" s="61"/>
      <c r="D506" s="17">
        <v>84513</v>
      </c>
      <c r="E506" s="16"/>
      <c r="F506" s="16"/>
      <c r="G506" s="16"/>
      <c r="H506" s="16">
        <f t="shared" ref="H506" si="2025">+H505+D506</f>
        <v>34968162</v>
      </c>
      <c r="I506" s="16"/>
      <c r="J506" s="436">
        <f t="shared" ref="J506" si="2026">+D506/H505</f>
        <v>2.422710995630073E-3</v>
      </c>
      <c r="K506" s="16"/>
      <c r="L506" s="16"/>
      <c r="M506" s="16"/>
      <c r="N506" s="16">
        <f t="shared" ref="N506" si="2027">SUM(D500:D506)</f>
        <v>384526</v>
      </c>
      <c r="O506" s="16">
        <f t="shared" ref="O506" si="2028">+H506/BW506</f>
        <v>70358.474849094564</v>
      </c>
      <c r="P506" s="41"/>
      <c r="Q506" s="17">
        <f t="shared" ref="Q506" si="2029">SUM(D500:D506)</f>
        <v>384526</v>
      </c>
      <c r="R506" s="16"/>
      <c r="S506" s="60">
        <f t="shared" ref="S506" si="2030">+(Q506-Q499)/Q499</f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ref="Z506" si="2031">SUM(W501:W506)</f>
        <v>1639</v>
      </c>
      <c r="AA506" s="33">
        <f t="shared" ref="AA506" si="2032">+AA505+W506</f>
        <v>612198</v>
      </c>
      <c r="AB506" s="33"/>
      <c r="AC506" s="46">
        <f t="shared" ref="AC506" si="2033">+AA506/H506</f>
        <v>1.7507297066400002E-2</v>
      </c>
      <c r="AD506" s="33"/>
      <c r="AE506" s="33">
        <f t="shared" ref="AE506" si="2034">+AA506/BW506</f>
        <v>1231.7867203219316</v>
      </c>
      <c r="AF506" s="50"/>
      <c r="AG506" s="33">
        <f t="shared" ref="AG506" si="2035">SUM(W500:W506)</f>
        <v>2067</v>
      </c>
      <c r="AH506" s="33">
        <f t="shared" ref="AH506" si="2036">SUM(D477:D910)</f>
        <v>1118322088.060914</v>
      </c>
      <c r="AI506" s="213">
        <f t="shared" ref="AI506" si="2037">+(AG506-AG499)/AG499</f>
        <v>0.24368231046931407</v>
      </c>
      <c r="AJ506" s="50"/>
      <c r="AK506" s="111" t="s">
        <v>26</v>
      </c>
      <c r="AL506" s="23">
        <f t="shared" ref="AL506" si="2038">+AP506-AP505</f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ref="AR506" si="2039">+AL506/AP505</f>
        <v>1.5552650088207799E-3</v>
      </c>
      <c r="AS506" s="25"/>
      <c r="AT506" s="25"/>
      <c r="AU506" s="24"/>
      <c r="AV506" s="298">
        <f t="shared" ref="AV506" si="2040">+AP506/H506</f>
        <v>0.84791416832260158</v>
      </c>
      <c r="AW506" s="298"/>
      <c r="AX506" s="24">
        <f t="shared" ref="AX506" si="2041">+AP506/BW506</f>
        <v>59657.947686116699</v>
      </c>
      <c r="AY506" s="308"/>
      <c r="AZ506" s="111" t="s">
        <v>26</v>
      </c>
      <c r="BA506" s="65">
        <f t="shared" ref="BA506" si="2042">+BC506-BC505</f>
        <v>218848</v>
      </c>
      <c r="BB506" s="66"/>
      <c r="BC506" s="66">
        <v>527300000</v>
      </c>
      <c r="BD506" s="66"/>
      <c r="BE506" s="66">
        <f t="shared" ref="BE506" si="2043">+D506</f>
        <v>84513</v>
      </c>
      <c r="BF506" s="66"/>
      <c r="BG506" s="144">
        <f t="shared" ref="BG506" si="2044">+BE506/BA506</f>
        <v>0.38617213773943559</v>
      </c>
      <c r="BH506" s="66"/>
      <c r="BI506" s="170"/>
      <c r="BJ506" s="66"/>
      <c r="BK506" s="66">
        <f t="shared" ref="BK506" si="2045">SUM(BA500:BA506)</f>
        <v>6888512</v>
      </c>
      <c r="BL506" s="66"/>
      <c r="BM506" s="144">
        <f t="shared" ref="BM506" si="2046">+Q506/BK506</f>
        <v>5.5821344290319881E-2</v>
      </c>
      <c r="BN506" s="65">
        <f t="shared" ref="BN506" si="2047">+BC506/BW506</f>
        <v>1060965.7947686117</v>
      </c>
      <c r="BO506" s="66"/>
      <c r="BP506" s="66">
        <f t="shared" ref="BP506" si="2048">+BP505+BE506</f>
        <v>34061184</v>
      </c>
      <c r="BQ506" s="66"/>
      <c r="BR506" s="435">
        <f t="shared" ref="BR506" si="2049">+BP506/BC506</f>
        <v>6.4595456097098422E-2</v>
      </c>
      <c r="BS506" s="66"/>
      <c r="BT506" s="75"/>
      <c r="BU506" s="170"/>
      <c r="BV506" s="1"/>
      <c r="BW506" s="61">
        <f t="shared" si="1175"/>
        <v>497</v>
      </c>
    </row>
    <row r="507" spans="2:75" x14ac:dyDescent="0.3">
      <c r="B507" s="158">
        <f t="shared" si="424"/>
        <v>44407</v>
      </c>
      <c r="C507" s="61"/>
      <c r="D507" s="17">
        <v>101098</v>
      </c>
      <c r="E507" s="16"/>
      <c r="F507" s="16"/>
      <c r="G507" s="16"/>
      <c r="H507" s="16">
        <f t="shared" ref="H507" si="2050">+H506+D507</f>
        <v>35069260</v>
      </c>
      <c r="I507" s="16"/>
      <c r="J507" s="436">
        <f t="shared" ref="J507" si="2051">+D507/H506</f>
        <v>2.8911442357193382E-3</v>
      </c>
      <c r="K507" s="16"/>
      <c r="L507" s="16"/>
      <c r="M507" s="16"/>
      <c r="N507" s="16">
        <f t="shared" ref="N507" si="2052">SUM(D501:D507)</f>
        <v>418139</v>
      </c>
      <c r="O507" s="16">
        <f t="shared" ref="O507" si="2053">+H507/BW507</f>
        <v>70420.200803212851</v>
      </c>
      <c r="P507" s="41"/>
      <c r="Q507" s="17">
        <f t="shared" ref="Q507" si="2054">SUM(D501:D507)</f>
        <v>418139</v>
      </c>
      <c r="R507" s="16"/>
      <c r="S507" s="60">
        <f t="shared" ref="S507" si="2055">+(Q507-Q500)/Q500</f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ref="Z507" si="2056">SUM(W502:W507)</f>
        <v>1917</v>
      </c>
      <c r="AA507" s="33">
        <f t="shared" ref="AA507" si="2057">+AA506+W507</f>
        <v>612627</v>
      </c>
      <c r="AB507" s="33"/>
      <c r="AC507" s="46">
        <f t="shared" ref="AC507" si="2058">+AA507/H507</f>
        <v>1.7469059797668957E-2</v>
      </c>
      <c r="AD507" s="33"/>
      <c r="AE507" s="33">
        <f t="shared" ref="AE507" si="2059">+AA507/BW507</f>
        <v>1230.1746987951808</v>
      </c>
      <c r="AF507" s="50"/>
      <c r="AG507" s="33">
        <f t="shared" ref="AG507" si="2060">SUM(W501:W507)</f>
        <v>2068</v>
      </c>
      <c r="AH507" s="33">
        <f t="shared" ref="AH507" si="2061">SUM(D478:D911)</f>
        <v>1118307891.060914</v>
      </c>
      <c r="AI507" s="213">
        <f t="shared" ref="AI507" si="2062">+(AG507-AG500)/AG500</f>
        <v>0.15080690038953812</v>
      </c>
      <c r="AJ507" s="50"/>
      <c r="AK507" s="111" t="s">
        <v>26</v>
      </c>
      <c r="AL507" s="23">
        <f t="shared" ref="AL507" si="2063">+AP507-AP506</f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ref="AR507" si="2064">+AL507/AP506</f>
        <v>6.8735244519392918E-5</v>
      </c>
      <c r="AS507" s="25"/>
      <c r="AT507" s="25"/>
      <c r="AU507" s="24"/>
      <c r="AV507" s="298">
        <f t="shared" ref="AV507" si="2065">+AP507/H507</f>
        <v>0.84552790677647605</v>
      </c>
      <c r="AW507" s="298"/>
      <c r="AX507" s="24">
        <f t="shared" ref="AX507" si="2066">+AP507/BW507</f>
        <v>59542.244979919677</v>
      </c>
      <c r="AY507" s="308"/>
      <c r="AZ507" s="111" t="s">
        <v>26</v>
      </c>
      <c r="BA507" s="65">
        <f t="shared" ref="BA507" si="2067">+BC507-BC506</f>
        <v>1878910</v>
      </c>
      <c r="BB507" s="66"/>
      <c r="BC507" s="66">
        <v>529178910</v>
      </c>
      <c r="BD507" s="66"/>
      <c r="BE507" s="66">
        <f t="shared" ref="BE507" si="2068">+D507</f>
        <v>101098</v>
      </c>
      <c r="BF507" s="66"/>
      <c r="BG507" s="144">
        <f t="shared" ref="BG507" si="2069">+BE507/BA507</f>
        <v>5.3806728369107618E-2</v>
      </c>
      <c r="BH507" s="66"/>
      <c r="BI507" s="170"/>
      <c r="BJ507" s="66"/>
      <c r="BK507" s="66">
        <f t="shared" ref="BK507" si="2070">SUM(BA501:BA507)</f>
        <v>7837054</v>
      </c>
      <c r="BL507" s="66"/>
      <c r="BM507" s="144">
        <f t="shared" ref="BM507" si="2071">+Q507/BK507</f>
        <v>5.3354104743950977E-2</v>
      </c>
      <c r="BN507" s="65">
        <f t="shared" ref="BN507" si="2072">+BC507/BW507</f>
        <v>1062608.2530120481</v>
      </c>
      <c r="BO507" s="66"/>
      <c r="BP507" s="66">
        <f t="shared" ref="BP507" si="2073">+BP506+BE507</f>
        <v>34162282</v>
      </c>
      <c r="BQ507" s="66"/>
      <c r="BR507" s="435">
        <f t="shared" ref="BR507" si="2074">+BP507/BC507</f>
        <v>6.4557149490330215E-2</v>
      </c>
      <c r="BS507" s="66"/>
      <c r="BT507" s="75"/>
      <c r="BU507" s="170"/>
      <c r="BV507" s="1"/>
      <c r="BW507" s="61">
        <f t="shared" si="1175"/>
        <v>498</v>
      </c>
    </row>
    <row r="508" spans="2:75" x14ac:dyDescent="0.3">
      <c r="B508" s="158">
        <f t="shared" si="424"/>
        <v>44408</v>
      </c>
      <c r="C508" s="61"/>
      <c r="D508" s="17">
        <v>51898</v>
      </c>
      <c r="E508" s="16"/>
      <c r="F508" s="16"/>
      <c r="G508" s="16"/>
      <c r="H508" s="16">
        <f t="shared" ref="H508" si="2075">+H507+D508</f>
        <v>35121158</v>
      </c>
      <c r="I508" s="16"/>
      <c r="J508" s="436">
        <f t="shared" ref="J508" si="2076">+D508/H507</f>
        <v>1.4798715456214361E-3</v>
      </c>
      <c r="K508" s="16"/>
      <c r="L508" s="16"/>
      <c r="M508" s="16"/>
      <c r="N508" s="16">
        <f t="shared" ref="N508" si="2077">SUM(D502:D508)</f>
        <v>433258</v>
      </c>
      <c r="O508" s="16">
        <f t="shared" ref="O508" si="2078">+H508/BW508</f>
        <v>70383.082164328662</v>
      </c>
      <c r="P508" s="41"/>
      <c r="Q508" s="17">
        <f t="shared" ref="Q508" si="2079">SUM(D502:D508)</f>
        <v>433258</v>
      </c>
      <c r="R508" s="16"/>
      <c r="S508" s="60">
        <f t="shared" ref="S508" si="2080">+(Q508-Q501)/Q501</f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ref="Z508" si="2081">SUM(W503:W508)</f>
        <v>2109</v>
      </c>
      <c r="AA508" s="33">
        <f t="shared" ref="AA508" si="2082">+AA507+W508</f>
        <v>612868</v>
      </c>
      <c r="AB508" s="33"/>
      <c r="AC508" s="46">
        <f t="shared" ref="AC508" si="2083">+AA508/H508</f>
        <v>1.7450107994730697E-2</v>
      </c>
      <c r="AD508" s="33"/>
      <c r="AE508" s="33">
        <f t="shared" ref="AE508" si="2084">+AA508/BW508</f>
        <v>1228.1923847695391</v>
      </c>
      <c r="AF508" s="50"/>
      <c r="AG508" s="33">
        <f t="shared" ref="AG508" si="2085">SUM(W502:W508)</f>
        <v>2158</v>
      </c>
      <c r="AH508" s="33">
        <f t="shared" ref="AH508" si="2086">SUM(D479:D912)</f>
        <v>1118290942.060914</v>
      </c>
      <c r="AI508" s="213">
        <f t="shared" ref="AI508" si="2087">+(AG508-AG501)/AG501</f>
        <v>0.17602179836512261</v>
      </c>
      <c r="AJ508" s="50"/>
      <c r="AK508" s="111"/>
      <c r="AL508" s="23">
        <f t="shared" ref="AL508" si="2088">+AP508-AP507</f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ref="AR508" si="2089">+AL508/AP507</f>
        <v>4.7480716165276734E-4</v>
      </c>
      <c r="AS508" s="25"/>
      <c r="AT508" s="25"/>
      <c r="AU508" s="24"/>
      <c r="AV508" s="298">
        <f t="shared" ref="AV508" si="2090">+AP508/H508</f>
        <v>0.84467935254298843</v>
      </c>
      <c r="AW508" s="298"/>
      <c r="AX508" s="24">
        <f t="shared" ref="AX508" si="2091">+AP508/BW508</f>
        <v>59451.136272545089</v>
      </c>
      <c r="AY508" s="308"/>
      <c r="AZ508" s="111"/>
      <c r="BA508" s="65">
        <f t="shared" ref="BA508" si="2092">+BC508-BC507</f>
        <v>500910</v>
      </c>
      <c r="BB508" s="66"/>
      <c r="BC508" s="66">
        <v>529679820</v>
      </c>
      <c r="BD508" s="66"/>
      <c r="BE508" s="66">
        <f t="shared" ref="BE508" si="2093">+D508</f>
        <v>51898</v>
      </c>
      <c r="BF508" s="66"/>
      <c r="BG508" s="144">
        <f t="shared" ref="BG508" si="2094">+BE508/BA508</f>
        <v>0.10360743446926593</v>
      </c>
      <c r="BH508" s="66"/>
      <c r="BI508" s="170"/>
      <c r="BJ508" s="66"/>
      <c r="BK508" s="66">
        <f t="shared" ref="BK508" si="2095">SUM(BA502:BA508)</f>
        <v>7944511</v>
      </c>
      <c r="BL508" s="66"/>
      <c r="BM508" s="144">
        <f t="shared" ref="BM508" si="2096">+Q508/BK508</f>
        <v>5.4535515150019934E-2</v>
      </c>
      <c r="BN508" s="65">
        <f t="shared" ref="BN508" si="2097">+BC508/BW508</f>
        <v>1061482.6052104209</v>
      </c>
      <c r="BO508" s="66"/>
      <c r="BP508" s="66">
        <f t="shared" ref="BP508" si="2098">+BP507+BE508</f>
        <v>34214180</v>
      </c>
      <c r="BQ508" s="66"/>
      <c r="BR508" s="435">
        <f t="shared" ref="BR508" si="2099">+BP508/BC508</f>
        <v>6.4594078739869679E-2</v>
      </c>
      <c r="BS508" s="66"/>
      <c r="BT508" s="75"/>
      <c r="BU508" s="170"/>
      <c r="BV508" s="1"/>
      <c r="BW508" s="61">
        <f t="shared" si="1175"/>
        <v>499</v>
      </c>
    </row>
    <row r="509" spans="2:75" x14ac:dyDescent="0.3">
      <c r="B509" s="347">
        <f t="shared" si="424"/>
        <v>44409</v>
      </c>
      <c r="C509" s="61"/>
      <c r="D509" s="17">
        <v>21768</v>
      </c>
      <c r="E509" s="16"/>
      <c r="F509" s="16"/>
      <c r="G509" s="16"/>
      <c r="H509" s="16">
        <f t="shared" ref="H509" si="2100">+H508+D509</f>
        <v>35142926</v>
      </c>
      <c r="I509" s="16"/>
      <c r="J509" s="436">
        <f t="shared" ref="J509" si="2101">+D509/H508</f>
        <v>6.1979733128389447E-4</v>
      </c>
      <c r="K509" s="16"/>
      <c r="L509" s="16"/>
      <c r="M509" s="16"/>
      <c r="N509" s="16">
        <f t="shared" ref="N509" si="2102">SUM(D503:D509)</f>
        <v>441208</v>
      </c>
      <c r="O509" s="16">
        <f t="shared" ref="O509" si="2103">+H509/BW509</f>
        <v>70285.851999999999</v>
      </c>
      <c r="P509" s="41"/>
      <c r="Q509" s="17">
        <f t="shared" ref="Q509" si="2104">SUM(D503:D509)</f>
        <v>441208</v>
      </c>
      <c r="R509" s="16"/>
      <c r="S509" s="60">
        <f t="shared" ref="S509" si="2105">+(Q509-Q502)/Q502</f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ref="Z509" si="2106">SUM(W504:W509)</f>
        <v>2041</v>
      </c>
      <c r="AA509" s="33">
        <f t="shared" ref="AA509" si="2107">+AA508+W509</f>
        <v>612932</v>
      </c>
      <c r="AB509" s="33"/>
      <c r="AC509" s="46">
        <f t="shared" ref="AC509" si="2108">+AA509/H509</f>
        <v>1.7441120298292749E-2</v>
      </c>
      <c r="AD509" s="33"/>
      <c r="AE509" s="33">
        <f t="shared" ref="AE509" si="2109">+AA509/BW509</f>
        <v>1225.864</v>
      </c>
      <c r="AF509" s="50"/>
      <c r="AG509" s="33">
        <f t="shared" ref="AG509" si="2110">SUM(W503:W509)</f>
        <v>2173</v>
      </c>
      <c r="AH509" s="33">
        <f t="shared" ref="AH509" si="2111">SUM(D480:D913)</f>
        <v>1118272543.060914</v>
      </c>
      <c r="AI509" s="213">
        <f t="shared" ref="AI509" si="2112">+(AG509-AG502)/AG502</f>
        <v>0.20588235294117646</v>
      </c>
      <c r="AJ509" s="50"/>
      <c r="AK509" s="111"/>
      <c r="AL509" s="23">
        <f t="shared" ref="AL509" si="2113">+AP509-AP508</f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ref="AR509" si="2114">+AL509/AP508</f>
        <v>2.4179099677925492E-4</v>
      </c>
      <c r="AS509" s="25"/>
      <c r="AT509" s="25"/>
      <c r="AU509" s="24"/>
      <c r="AV509" s="298">
        <f t="shared" ref="AV509" si="2115">+AP509/H509</f>
        <v>0.84436025617218102</v>
      </c>
      <c r="AW509" s="298"/>
      <c r="AX509" s="24">
        <f t="shared" ref="AX509" si="2116">+AP509/BW509</f>
        <v>59346.58</v>
      </c>
      <c r="AY509" s="308"/>
      <c r="AZ509" s="111"/>
      <c r="BA509" s="65">
        <f t="shared" ref="BA509" si="2117">+BC509-BC508</f>
        <v>238229</v>
      </c>
      <c r="BB509" s="66"/>
      <c r="BC509" s="66">
        <v>529918049</v>
      </c>
      <c r="BD509" s="66"/>
      <c r="BE509" s="66">
        <f t="shared" ref="BE509" si="2118">+D509</f>
        <v>21768</v>
      </c>
      <c r="BF509" s="66"/>
      <c r="BG509" s="144">
        <f t="shared" ref="BG509" si="2119">+BE509/BA509</f>
        <v>9.1374265937396365E-2</v>
      </c>
      <c r="BH509" s="66"/>
      <c r="BI509" s="170"/>
      <c r="BJ509" s="66"/>
      <c r="BK509" s="66">
        <f t="shared" ref="BK509" si="2120">SUM(BA503:BA509)</f>
        <v>6309093</v>
      </c>
      <c r="BL509" s="66"/>
      <c r="BM509" s="144">
        <f t="shared" ref="BM509" si="2121">+Q509/BK509</f>
        <v>6.9932080570059757E-2</v>
      </c>
      <c r="BN509" s="65">
        <f t="shared" ref="BN509" si="2122">+BC509/BW509</f>
        <v>1059836.098</v>
      </c>
      <c r="BO509" s="66"/>
      <c r="BP509" s="66">
        <f t="shared" ref="BP509" si="2123">+BP508+BE509</f>
        <v>34235948</v>
      </c>
      <c r="BQ509" s="66"/>
      <c r="BR509" s="435">
        <f t="shared" ref="BR509" si="2124">+BP509/BC509</f>
        <v>6.4606117992406786E-2</v>
      </c>
      <c r="BS509" s="66"/>
      <c r="BT509" s="75"/>
      <c r="BU509" s="170"/>
      <c r="BV509" s="1"/>
      <c r="BW509" s="61">
        <f t="shared" si="1175"/>
        <v>500</v>
      </c>
    </row>
    <row r="510" spans="2:75" x14ac:dyDescent="0.3">
      <c r="B510" s="158">
        <f t="shared" si="424"/>
        <v>44410</v>
      </c>
      <c r="C510" s="61"/>
      <c r="D510" s="17">
        <v>56369</v>
      </c>
      <c r="E510" s="16"/>
      <c r="F510" s="16"/>
      <c r="G510" s="16"/>
      <c r="H510" s="16">
        <f t="shared" ref="H510" si="2125">+H509+D510</f>
        <v>35199295</v>
      </c>
      <c r="I510" s="16"/>
      <c r="J510" s="436">
        <f t="shared" ref="J510" si="2126">+D510/H509</f>
        <v>1.6039927921767242E-3</v>
      </c>
      <c r="K510" s="16"/>
      <c r="L510" s="16"/>
      <c r="M510" s="16"/>
      <c r="N510" s="16">
        <f t="shared" ref="N510" si="2127">SUM(D504:D510)</f>
        <v>461761</v>
      </c>
      <c r="O510" s="16">
        <f t="shared" ref="O510" si="2128">+H510/BW510</f>
        <v>70258.073852295405</v>
      </c>
      <c r="P510" s="41"/>
      <c r="Q510" s="17">
        <f t="shared" ref="Q510" si="2129">SUM(D504:D510)</f>
        <v>461761</v>
      </c>
      <c r="R510" s="16"/>
      <c r="S510" s="60">
        <f t="shared" ref="S510" si="2130">+(Q510-Q503)/Q503</f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ref="Z510" si="2131">SUM(W505:W510)</f>
        <v>1915</v>
      </c>
      <c r="AA510" s="33">
        <f t="shared" ref="AA510" si="2132">+AA509+W510</f>
        <v>613145</v>
      </c>
      <c r="AB510" s="33"/>
      <c r="AC510" s="46">
        <f t="shared" ref="AC510" si="2133">+AA510/H510</f>
        <v>1.7419240925137847E-2</v>
      </c>
      <c r="AD510" s="33"/>
      <c r="AE510" s="33">
        <f t="shared" ref="AE510" si="2134">+AA510/BW510</f>
        <v>1223.8423153692615</v>
      </c>
      <c r="AF510" s="50"/>
      <c r="AG510" s="33">
        <f t="shared" ref="AG510" si="2135">SUM(W504:W510)</f>
        <v>2254</v>
      </c>
      <c r="AH510" s="33">
        <f t="shared" ref="AH510" si="2136">SUM(D481:D914)</f>
        <v>1118264565.060914</v>
      </c>
      <c r="AI510" s="213">
        <f t="shared" ref="AI510" si="2137">+(AG510-AG503)/AG503</f>
        <v>0.25431274346132443</v>
      </c>
      <c r="AJ510" s="50"/>
      <c r="AK510" s="111"/>
      <c r="AL510" s="23">
        <f t="shared" ref="AL510" si="2138">+AP510-AP509</f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ref="AR510" si="2139">+AL510/AP509</f>
        <v>1.4911390007646607E-3</v>
      </c>
      <c r="AS510" s="25"/>
      <c r="AT510" s="25"/>
      <c r="AU510" s="24"/>
      <c r="AV510" s="298">
        <f t="shared" ref="AV510" si="2140">+AP510/H510</f>
        <v>0.84426511951446759</v>
      </c>
      <c r="AW510" s="298"/>
      <c r="AX510" s="24">
        <f t="shared" ref="AX510" si="2141">+AP510/BW510</f>
        <v>59316.441117764472</v>
      </c>
      <c r="AY510" s="308"/>
      <c r="AZ510" s="111"/>
      <c r="BA510" s="65">
        <f t="shared" ref="BA510" si="2142">+BC510-BC509</f>
        <v>2223019</v>
      </c>
      <c r="BB510" s="66"/>
      <c r="BC510" s="66">
        <v>532141068</v>
      </c>
      <c r="BD510" s="66"/>
      <c r="BE510" s="66">
        <f t="shared" ref="BE510" si="2143">+D510</f>
        <v>56369</v>
      </c>
      <c r="BF510" s="66"/>
      <c r="BG510" s="144">
        <f t="shared" ref="BG510" si="2144">+BE510/BA510</f>
        <v>2.5356958262614939E-2</v>
      </c>
      <c r="BH510" s="66"/>
      <c r="BI510" s="170"/>
      <c r="BJ510" s="66"/>
      <c r="BK510" s="66">
        <f t="shared" ref="BK510" si="2145">SUM(BA504:BA510)</f>
        <v>6157182</v>
      </c>
      <c r="BL510" s="66"/>
      <c r="BM510" s="144">
        <f t="shared" ref="BM510" si="2146">+Q510/BK510</f>
        <v>7.4995509309291164E-2</v>
      </c>
      <c r="BN510" s="65">
        <f t="shared" ref="BN510" si="2147">+BC510/BW510</f>
        <v>1062157.8203592815</v>
      </c>
      <c r="BO510" s="66"/>
      <c r="BP510" s="66">
        <f t="shared" ref="BP510" si="2148">+BP509+BE510</f>
        <v>34292317</v>
      </c>
      <c r="BQ510" s="66"/>
      <c r="BR510" s="435">
        <f t="shared" ref="BR510" si="2149">+BP510/BC510</f>
        <v>6.4442154650616063E-2</v>
      </c>
      <c r="BS510" s="66"/>
      <c r="BT510" s="75"/>
      <c r="BU510" s="170"/>
      <c r="BV510" s="1"/>
      <c r="BW510" s="61">
        <f t="shared" si="1175"/>
        <v>501</v>
      </c>
    </row>
    <row r="511" spans="2:75" x14ac:dyDescent="0.3">
      <c r="B511" s="158">
        <f t="shared" si="424"/>
        <v>44411</v>
      </c>
      <c r="C511" s="61"/>
      <c r="D511" s="17">
        <v>104758</v>
      </c>
      <c r="E511" s="16"/>
      <c r="F511" s="16"/>
      <c r="G511" s="16"/>
      <c r="H511" s="16">
        <f t="shared" ref="H511" si="2150">+H510+D511</f>
        <v>35304053</v>
      </c>
      <c r="I511" s="16"/>
      <c r="J511" s="436">
        <f t="shared" ref="J511" si="2151">+D511/H510</f>
        <v>2.9761391527870088E-3</v>
      </c>
      <c r="K511" s="16"/>
      <c r="L511" s="16"/>
      <c r="M511" s="16"/>
      <c r="N511" s="16">
        <f t="shared" ref="N511" si="2152">SUM(D505:D511)</f>
        <v>504938</v>
      </c>
      <c r="O511" s="16">
        <f t="shared" ref="O511" si="2153">+H511/BW511</f>
        <v>70326.798804780876</v>
      </c>
      <c r="P511" s="41"/>
      <c r="Q511" s="17">
        <f t="shared" ref="Q511" si="2154">SUM(D505:D511)</f>
        <v>504938</v>
      </c>
      <c r="R511" s="16"/>
      <c r="S511" s="60">
        <f t="shared" ref="S511" si="2155">+(Q511-Q504)/Q504</f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ref="Z511" si="2156">SUM(W506:W511)</f>
        <v>1948</v>
      </c>
      <c r="AA511" s="33">
        <f t="shared" ref="AA511" si="2157">+AA510+W511</f>
        <v>613661</v>
      </c>
      <c r="AB511" s="33"/>
      <c r="AC511" s="46">
        <f t="shared" ref="AC511" si="2158">+AA511/H511</f>
        <v>1.7382168557247519E-2</v>
      </c>
      <c r="AD511" s="33"/>
      <c r="AE511" s="33">
        <f t="shared" ref="AE511" si="2159">+AA511/BW511</f>
        <v>1222.4322709163346</v>
      </c>
      <c r="AF511" s="50"/>
      <c r="AG511" s="33">
        <f t="shared" ref="AG511" si="2160">SUM(W505:W511)</f>
        <v>2431</v>
      </c>
      <c r="AH511" s="33">
        <f t="shared" ref="AH511" si="2161">SUM(D482:D915)</f>
        <v>1118258816.060914</v>
      </c>
      <c r="AI511" s="213">
        <f t="shared" ref="AI511" si="2162">+(AG511-AG504)/AG504</f>
        <v>0.29308510638297874</v>
      </c>
      <c r="AJ511" s="50"/>
      <c r="AK511" s="111"/>
      <c r="AL511" s="23">
        <f t="shared" ref="AL511" si="2163">+AP511-AP510</f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ref="AR511" si="2164">+AL511/AP510</f>
        <v>1.3140052622799797E-3</v>
      </c>
      <c r="AS511" s="25"/>
      <c r="AT511" s="25"/>
      <c r="AU511" s="24"/>
      <c r="AV511" s="298">
        <f t="shared" ref="AV511" si="2165">+AP511/H511</f>
        <v>0.84286600181571225</v>
      </c>
      <c r="AW511" s="298"/>
      <c r="AX511" s="24">
        <f t="shared" ref="AX511" si="2166">+AP511/BW511</f>
        <v>59276.067729083668</v>
      </c>
      <c r="AY511" s="308"/>
      <c r="AZ511" s="111"/>
      <c r="BA511" s="65">
        <f t="shared" ref="BA511" si="2167">+BC511-BC510</f>
        <v>7084250</v>
      </c>
      <c r="BB511" s="66"/>
      <c r="BC511" s="66">
        <v>539225318</v>
      </c>
      <c r="BD511" s="66"/>
      <c r="BE511" s="66">
        <f t="shared" ref="BE511" si="2168">+D511</f>
        <v>104758</v>
      </c>
      <c r="BF511" s="66"/>
      <c r="BG511" s="144">
        <f t="shared" ref="BG511" si="2169">+BE511/BA511</f>
        <v>1.4787451035748314E-2</v>
      </c>
      <c r="BH511" s="66"/>
      <c r="BI511" s="170"/>
      <c r="BJ511" s="66"/>
      <c r="BK511" s="66">
        <f t="shared" ref="BK511" si="2170">SUM(BA505:BA511)</f>
        <v>12349086</v>
      </c>
      <c r="BL511" s="66"/>
      <c r="BM511" s="144">
        <f t="shared" ref="BM511" si="2171">+Q511/BK511</f>
        <v>4.0888694110641062E-2</v>
      </c>
      <c r="BN511" s="65">
        <f t="shared" ref="BN511" si="2172">+BC511/BW511</f>
        <v>1074154.0199203186</v>
      </c>
      <c r="BO511" s="66"/>
      <c r="BP511" s="66">
        <f t="shared" ref="BP511" si="2173">+BP510+BE511</f>
        <v>34397075</v>
      </c>
      <c r="BQ511" s="66"/>
      <c r="BR511" s="435">
        <f t="shared" ref="BR511" si="2174">+BP511/BC511</f>
        <v>6.378979964735261E-2</v>
      </c>
      <c r="BS511" s="66"/>
      <c r="BT511" s="75"/>
      <c r="BU511" s="170"/>
      <c r="BV511" s="1"/>
      <c r="BW511" s="61">
        <f t="shared" si="1175"/>
        <v>502</v>
      </c>
    </row>
    <row r="512" spans="2:75" x14ac:dyDescent="0.3">
      <c r="B512" s="158">
        <f t="shared" si="424"/>
        <v>44412</v>
      </c>
      <c r="C512" s="61"/>
      <c r="D512" s="17">
        <v>112279</v>
      </c>
      <c r="E512" s="16"/>
      <c r="F512" s="16"/>
      <c r="G512" s="16"/>
      <c r="H512" s="16">
        <f t="shared" ref="H512" si="2175">+H511+D512</f>
        <v>35416332</v>
      </c>
      <c r="I512" s="16"/>
      <c r="J512" s="436">
        <f t="shared" ref="J512" si="2176">+D512/H511</f>
        <v>3.1803430614609604E-3</v>
      </c>
      <c r="K512" s="16"/>
      <c r="L512" s="16"/>
      <c r="M512" s="16"/>
      <c r="N512" s="16">
        <f t="shared" ref="N512" si="2177">SUM(D506:D512)</f>
        <v>532683</v>
      </c>
      <c r="O512" s="16">
        <f t="shared" ref="O512" si="2178">+H512/BW512</f>
        <v>70410.202783300192</v>
      </c>
      <c r="P512" s="41"/>
      <c r="Q512" s="17">
        <f t="shared" ref="Q512" si="2179">SUM(D506:D512)</f>
        <v>532683</v>
      </c>
      <c r="R512" s="16"/>
      <c r="S512" s="60">
        <f t="shared" ref="S512" si="2180">+(Q512-Q505)/Q505</f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ref="Z512" si="2181">SUM(W507:W512)</f>
        <v>2119</v>
      </c>
      <c r="AA512" s="33">
        <f t="shared" ref="AA512" si="2182">+AA511+W512</f>
        <v>614317</v>
      </c>
      <c r="AB512" s="33"/>
      <c r="AC512" s="46">
        <f t="shared" ref="AC512" si="2183">+AA512/H512</f>
        <v>1.7345585082046328E-2</v>
      </c>
      <c r="AD512" s="33"/>
      <c r="AE512" s="33">
        <f t="shared" ref="AE512" si="2184">+AA512/BW512</f>
        <v>1221.3061630218688</v>
      </c>
      <c r="AF512" s="50"/>
      <c r="AG512" s="33">
        <f t="shared" ref="AG512" si="2185">SUM(W506:W512)</f>
        <v>2604</v>
      </c>
      <c r="AH512" s="33">
        <f t="shared" ref="AH512" si="2186">SUM(D483:D916)</f>
        <v>1118253684.060914</v>
      </c>
      <c r="AI512" s="213">
        <f t="shared" ref="AI512" si="2187">+(AG512-AG505)/AG505</f>
        <v>0.33744221879815101</v>
      </c>
      <c r="AJ512" s="50"/>
      <c r="AK512" s="111"/>
      <c r="AL512" s="23">
        <f t="shared" ref="AL512" si="2188">+AP512-AP511</f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ref="AR512" si="2189">+AL512/AP511</f>
        <v>1.0327125564740525E-3</v>
      </c>
      <c r="AS512" s="25"/>
      <c r="AT512" s="25"/>
      <c r="AU512" s="24"/>
      <c r="AV512" s="298">
        <f t="shared" ref="AV512" si="2190">+AP512/H512</f>
        <v>0.84106157577244312</v>
      </c>
      <c r="AW512" s="298"/>
      <c r="AX512" s="24">
        <f t="shared" ref="AX512" si="2191">+AP512/BW512</f>
        <v>59219.316103379722</v>
      </c>
      <c r="AY512" s="308"/>
      <c r="AZ512" s="111"/>
      <c r="BA512" s="65">
        <f t="shared" ref="BA512" si="2192">+BC512-BC511</f>
        <v>1157031</v>
      </c>
      <c r="BB512" s="66"/>
      <c r="BC512" s="66">
        <v>540382349</v>
      </c>
      <c r="BD512" s="66"/>
      <c r="BE512" s="66">
        <f t="shared" ref="BE512" si="2193">+D512</f>
        <v>112279</v>
      </c>
      <c r="BF512" s="66"/>
      <c r="BG512" s="144">
        <f t="shared" ref="BG512" si="2194">+BE512/BA512</f>
        <v>9.7040615160700103E-2</v>
      </c>
      <c r="BH512" s="66"/>
      <c r="BI512" s="170"/>
      <c r="BJ512" s="66"/>
      <c r="BK512" s="66">
        <f t="shared" ref="BK512" si="2195">SUM(BA506:BA512)</f>
        <v>13301197</v>
      </c>
      <c r="BL512" s="66"/>
      <c r="BM512" s="144">
        <f t="shared" ref="BM512" si="2196">+Q512/BK512</f>
        <v>4.0047749086040904E-2</v>
      </c>
      <c r="BN512" s="65">
        <f t="shared" ref="BN512" si="2197">+BC512/BW512</f>
        <v>1074318.7852882703</v>
      </c>
      <c r="BO512" s="66"/>
      <c r="BP512" s="66">
        <f t="shared" ref="BP512" si="2198">+BP511+BE512</f>
        <v>34509354</v>
      </c>
      <c r="BQ512" s="66"/>
      <c r="BR512" s="435">
        <f t="shared" ref="BR512" si="2199">+BP512/BC512</f>
        <v>6.3860994097718018E-2</v>
      </c>
      <c r="BS512" s="66"/>
      <c r="BT512" s="75"/>
      <c r="BU512" s="170"/>
      <c r="BV512" s="1"/>
      <c r="BW512" s="61">
        <f t="shared" si="1175"/>
        <v>503</v>
      </c>
    </row>
    <row r="513" spans="2:85" x14ac:dyDescent="0.3">
      <c r="B513" s="158">
        <f t="shared" si="424"/>
        <v>44413</v>
      </c>
      <c r="C513" s="61"/>
      <c r="D513" s="17">
        <v>120945</v>
      </c>
      <c r="E513" s="16"/>
      <c r="F513" s="16"/>
      <c r="G513" s="16"/>
      <c r="H513" s="16">
        <f t="shared" ref="H513" si="2200">+H512+D513</f>
        <v>35537277</v>
      </c>
      <c r="I513" s="16"/>
      <c r="J513" s="436">
        <f t="shared" ref="J513" si="2201">+D513/H512</f>
        <v>3.4149499163267389E-3</v>
      </c>
      <c r="K513" s="16"/>
      <c r="L513" s="16"/>
      <c r="M513" s="16"/>
      <c r="N513" s="16">
        <f t="shared" ref="N513" si="2202">SUM(D507:D513)</f>
        <v>569115</v>
      </c>
      <c r="O513" s="16">
        <f t="shared" ref="O513" si="2203">+H513/BW513</f>
        <v>70510.470238095237</v>
      </c>
      <c r="P513" s="41"/>
      <c r="Q513" s="17">
        <f t="shared" ref="Q513" si="2204">SUM(D507:D513)</f>
        <v>569115</v>
      </c>
      <c r="R513" s="16"/>
      <c r="S513" s="60">
        <f t="shared" ref="S513" si="2205">+(Q513-Q506)/Q506</f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ref="Z513" si="2206">SUM(W508:W513)</f>
        <v>2249</v>
      </c>
      <c r="AA513" s="33">
        <f t="shared" ref="AA513" si="2207">+AA512+W513</f>
        <v>614876</v>
      </c>
      <c r="AB513" s="33"/>
      <c r="AC513" s="46">
        <f t="shared" ref="AC513" si="2208">+AA513/H513</f>
        <v>1.7302282332999235E-2</v>
      </c>
      <c r="AD513" s="33"/>
      <c r="AE513" s="33">
        <f t="shared" ref="AE513" si="2209">+AA513/BW513</f>
        <v>1219.9920634920634</v>
      </c>
      <c r="AF513" s="50"/>
      <c r="AG513" s="33">
        <f t="shared" ref="AG513" si="2210">SUM(W507:W513)</f>
        <v>2678</v>
      </c>
      <c r="AH513" s="33">
        <f t="shared" ref="AH513" si="2211">SUM(D484:D917)</f>
        <v>1118242072.060914</v>
      </c>
      <c r="AI513" s="213">
        <f t="shared" ref="AI513" si="2212">+(AG513-AG506)/AG506</f>
        <v>0.29559748427672955</v>
      </c>
      <c r="AJ513" s="50"/>
      <c r="AK513" s="111" t="s">
        <v>26</v>
      </c>
      <c r="AL513" s="23">
        <f t="shared" ref="AL513" si="2213">+AP513-AP512</f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ref="AR513" si="2214">+AL513/AP512</f>
        <v>4.258188283899093E-4</v>
      </c>
      <c r="AS513" s="25"/>
      <c r="AT513" s="25"/>
      <c r="AU513" s="24"/>
      <c r="AV513" s="298">
        <f t="shared" ref="AV513" si="2215">+AP513/H513</f>
        <v>0.83855608858270148</v>
      </c>
      <c r="AW513" s="298"/>
      <c r="AX513" s="24">
        <f t="shared" ref="AX513" si="2216">+AP513/BW513</f>
        <v>59126.984126984127</v>
      </c>
      <c r="AY513" s="308"/>
      <c r="AZ513" s="111" t="s">
        <v>26</v>
      </c>
      <c r="BA513" s="65">
        <f t="shared" ref="BA513" si="2217">+BC513-BC512</f>
        <v>1100613</v>
      </c>
      <c r="BB513" s="66"/>
      <c r="BC513" s="66">
        <v>541482962</v>
      </c>
      <c r="BD513" s="66"/>
      <c r="BE513" s="66">
        <f t="shared" ref="BE513" si="2218">+D513</f>
        <v>120945</v>
      </c>
      <c r="BF513" s="66"/>
      <c r="BG513" s="144">
        <f t="shared" ref="BG513" si="2219">+BE513/BA513</f>
        <v>0.10988876198990925</v>
      </c>
      <c r="BH513" s="66"/>
      <c r="BI513" s="170"/>
      <c r="BJ513" s="66"/>
      <c r="BK513" s="66">
        <f t="shared" ref="BK513" si="2220">SUM(BA507:BA513)</f>
        <v>14182962</v>
      </c>
      <c r="BL513" s="66"/>
      <c r="BM513" s="144">
        <f t="shared" ref="BM513" si="2221">+Q513/BK513</f>
        <v>4.0126667476088562E-2</v>
      </c>
      <c r="BN513" s="65">
        <f t="shared" ref="BN513" si="2222">+BC513/BW513</f>
        <v>1074370.9563492064</v>
      </c>
      <c r="BO513" s="66"/>
      <c r="BP513" s="66">
        <f t="shared" ref="BP513" si="2223">+BP512+BE513</f>
        <v>34630299</v>
      </c>
      <c r="BQ513" s="66"/>
      <c r="BR513" s="435">
        <f t="shared" ref="BR513" si="2224">+BP513/BC513</f>
        <v>6.3954549690891288E-2</v>
      </c>
      <c r="BS513" s="66"/>
      <c r="BT513" s="75"/>
      <c r="BU513" s="170"/>
      <c r="BV513" s="1"/>
      <c r="BW513" s="61">
        <f t="shared" si="1175"/>
        <v>504</v>
      </c>
    </row>
    <row r="514" spans="2:85" x14ac:dyDescent="0.3">
      <c r="B514" s="158">
        <f t="shared" si="424"/>
        <v>44414</v>
      </c>
      <c r="C514" s="61"/>
      <c r="D514" s="17">
        <v>130706</v>
      </c>
      <c r="E514" s="16"/>
      <c r="F514" s="16"/>
      <c r="G514" s="16"/>
      <c r="H514" s="16">
        <f t="shared" ref="H514" si="2225">+H513+D514</f>
        <v>35667983</v>
      </c>
      <c r="I514" s="16"/>
      <c r="J514" s="436">
        <f t="shared" ref="J514" si="2226">+D514/H513</f>
        <v>3.67799705081512E-3</v>
      </c>
      <c r="K514" s="16"/>
      <c r="L514" s="16"/>
      <c r="M514" s="16"/>
      <c r="N514" s="16">
        <f t="shared" ref="N514" si="2227">SUM(D508:D514)</f>
        <v>598723</v>
      </c>
      <c r="O514" s="16">
        <f t="shared" ref="O514" si="2228">+H514/BW514</f>
        <v>70629.669306930693</v>
      </c>
      <c r="P514" s="41"/>
      <c r="Q514" s="17">
        <f t="shared" ref="Q514" si="2229">SUM(D508:D514)</f>
        <v>598723</v>
      </c>
      <c r="R514" s="16"/>
      <c r="S514" s="60">
        <f t="shared" ref="S514" si="2230">+(Q514-Q507)/Q507</f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ref="Z514" si="2231">SUM(W509:W514)</f>
        <v>2758</v>
      </c>
      <c r="AA514" s="33">
        <f t="shared" ref="AA514" si="2232">+AA513+W514</f>
        <v>615626</v>
      </c>
      <c r="AB514" s="33"/>
      <c r="AC514" s="46">
        <f t="shared" ref="AC514" si="2233">+AA514/H514</f>
        <v>1.7259905052663057E-2</v>
      </c>
      <c r="AD514" s="33"/>
      <c r="AE514" s="33">
        <f t="shared" ref="AE514" si="2234">+AA514/BW514</f>
        <v>1219.0613861386139</v>
      </c>
      <c r="AF514" s="50"/>
      <c r="AG514" s="33">
        <f t="shared" ref="AG514" si="2235">SUM(W508:W514)</f>
        <v>2999</v>
      </c>
      <c r="AH514" s="33">
        <f t="shared" ref="AH514" si="2236">SUM(D485:D918)</f>
        <v>1118225260.060914</v>
      </c>
      <c r="AI514" s="213">
        <f t="shared" ref="AI514" si="2237">+(AG514-AG507)/AG507</f>
        <v>0.45019342359767894</v>
      </c>
      <c r="AJ514" s="50"/>
      <c r="AK514" s="111"/>
      <c r="AL514" s="23">
        <f t="shared" ref="AL514" si="2238">+AP514-AP513</f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ref="AR514" si="2239">+AL514/AP513</f>
        <v>1.1567785234899328E-3</v>
      </c>
      <c r="AS514" s="25"/>
      <c r="AT514" s="25"/>
      <c r="AU514" s="24"/>
      <c r="AV514" s="298">
        <f t="shared" ref="AV514" si="2240">+AP514/H514</f>
        <v>0.83644965290019346</v>
      </c>
      <c r="AW514" s="298"/>
      <c r="AX514" s="24">
        <f t="shared" ref="AX514" si="2241">+AP514/BW514</f>
        <v>59078.162376237626</v>
      </c>
      <c r="AY514" s="308"/>
      <c r="AZ514" s="111"/>
      <c r="BA514" s="65">
        <f t="shared" ref="BA514" si="2242">+BC514-BC513</f>
        <v>1408885</v>
      </c>
      <c r="BB514" s="66"/>
      <c r="BC514" s="66">
        <v>542891847</v>
      </c>
      <c r="BD514" s="66"/>
      <c r="BE514" s="66">
        <f t="shared" ref="BE514" si="2243">+D514</f>
        <v>130706</v>
      </c>
      <c r="BF514" s="66"/>
      <c r="BG514" s="144">
        <f t="shared" ref="BG514" si="2244">+BE514/BA514</f>
        <v>9.2772653552277151E-2</v>
      </c>
      <c r="BH514" s="66"/>
      <c r="BI514" s="170"/>
      <c r="BJ514" s="66"/>
      <c r="BK514" s="66">
        <f t="shared" ref="BK514" si="2245">SUM(BA508:BA514)</f>
        <v>13712937</v>
      </c>
      <c r="BL514" s="66"/>
      <c r="BM514" s="144">
        <f t="shared" ref="BM514" si="2246">+Q514/BK514</f>
        <v>4.3661179220760661E-2</v>
      </c>
      <c r="BN514" s="65">
        <f t="shared" ref="BN514" si="2247">+BC514/BW514</f>
        <v>1075033.3603960397</v>
      </c>
      <c r="BO514" s="66"/>
      <c r="BP514" s="66">
        <f t="shared" ref="BP514" si="2248">+BP513+BE514</f>
        <v>34761005</v>
      </c>
      <c r="BQ514" s="66"/>
      <c r="BR514" s="435">
        <f t="shared" ref="BR514" si="2249">+BP514/BC514</f>
        <v>6.4029336951895693E-2</v>
      </c>
      <c r="BS514" s="66"/>
      <c r="BT514" s="75"/>
      <c r="BU514" s="170"/>
      <c r="BV514" s="1"/>
      <c r="BW514" s="61">
        <f t="shared" si="1175"/>
        <v>505</v>
      </c>
    </row>
    <row r="515" spans="2:85" x14ac:dyDescent="0.3">
      <c r="B515" s="158">
        <f t="shared" si="424"/>
        <v>44415</v>
      </c>
      <c r="C515" s="61"/>
      <c r="D515" s="17">
        <v>68950</v>
      </c>
      <c r="E515" s="16"/>
      <c r="F515" s="16"/>
      <c r="G515" s="16"/>
      <c r="H515" s="16">
        <f t="shared" ref="H515" si="2250">+H514+D515</f>
        <v>35736933</v>
      </c>
      <c r="I515" s="16"/>
      <c r="J515" s="436">
        <f t="shared" ref="J515" si="2251">+D515/H514</f>
        <v>1.9331062258272356E-3</v>
      </c>
      <c r="K515" s="16"/>
      <c r="L515" s="16"/>
      <c r="M515" s="16"/>
      <c r="N515" s="16">
        <f t="shared" ref="N515" si="2252">SUM(D509:D515)</f>
        <v>615775</v>
      </c>
      <c r="O515" s="16">
        <f t="shared" ref="O515" si="2253">+H515/BW515</f>
        <v>70626.349802371536</v>
      </c>
      <c r="P515" s="41"/>
      <c r="Q515" s="17">
        <f t="shared" ref="Q515" si="2254">SUM(D509:D515)</f>
        <v>615775</v>
      </c>
      <c r="R515" s="16"/>
      <c r="S515" s="60">
        <f t="shared" ref="S515" si="2255">+(Q515-Q508)/Q508</f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ref="Z515" si="2256">SUM(W510:W515)</f>
        <v>3014</v>
      </c>
      <c r="AA515" s="33">
        <f t="shared" ref="AA515" si="2257">+AA514+W515</f>
        <v>615946</v>
      </c>
      <c r="AB515" s="33"/>
      <c r="AC515" s="46">
        <f t="shared" ref="AC515" si="2258">+AA515/H515</f>
        <v>1.7235558518689895E-2</v>
      </c>
      <c r="AD515" s="33"/>
      <c r="AE515" s="33">
        <f t="shared" ref="AE515" si="2259">+AA515/BW515</f>
        <v>1217.2845849802372</v>
      </c>
      <c r="AF515" s="50"/>
      <c r="AG515" s="33">
        <f t="shared" ref="AG515" si="2260">SUM(W509:W515)</f>
        <v>3078</v>
      </c>
      <c r="AH515" s="33">
        <f t="shared" ref="AH515" si="2261">SUM(D486:D919)</f>
        <v>1118205913.060914</v>
      </c>
      <c r="AI515" s="213">
        <f t="shared" ref="AI515" si="2262">+(AG515-AG508)/AG508</f>
        <v>0.42632066728452273</v>
      </c>
      <c r="AJ515" s="50"/>
      <c r="AK515" s="111"/>
      <c r="AL515" s="23">
        <f t="shared" ref="AL515" si="2263">+AP515-AP514</f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ref="AR515" si="2264">+AL515/AP514</f>
        <v>5.8090520254556544E-4</v>
      </c>
      <c r="AS515" s="25"/>
      <c r="AT515" s="25"/>
      <c r="AU515" s="24"/>
      <c r="AV515" s="298">
        <f t="shared" ref="AV515" si="2265">+AP515/H515</f>
        <v>0.83532078704123824</v>
      </c>
      <c r="AW515" s="298"/>
      <c r="AX515" s="24">
        <f t="shared" ref="AX515" si="2266">+AP515/BW515</f>
        <v>58995.6581027668</v>
      </c>
      <c r="AY515" s="308"/>
      <c r="AZ515" s="111"/>
      <c r="BA515" s="65">
        <f t="shared" ref="BA515" si="2267">+BC515-BC514</f>
        <v>836734</v>
      </c>
      <c r="BB515" s="66"/>
      <c r="BC515" s="66">
        <v>543728581</v>
      </c>
      <c r="BD515" s="66"/>
      <c r="BE515" s="66">
        <f t="shared" ref="BE515" si="2268">+D515</f>
        <v>68950</v>
      </c>
      <c r="BF515" s="66"/>
      <c r="BG515" s="144">
        <f t="shared" ref="BG515" si="2269">+BE515/BA515</f>
        <v>8.2403726871383254E-2</v>
      </c>
      <c r="BH515" s="66"/>
      <c r="BI515" s="170"/>
      <c r="BJ515" s="66"/>
      <c r="BK515" s="66">
        <f t="shared" ref="BK515" si="2270">SUM(BA509:BA515)</f>
        <v>14048761</v>
      </c>
      <c r="BL515" s="66"/>
      <c r="BM515" s="144">
        <f t="shared" ref="BM515" si="2271">+Q515/BK515</f>
        <v>4.3831267397886543E-2</v>
      </c>
      <c r="BN515" s="65">
        <f t="shared" ref="BN515" si="2272">+BC515/BW515</f>
        <v>1074562.4130434783</v>
      </c>
      <c r="BO515" s="66"/>
      <c r="BP515" s="66">
        <f t="shared" ref="BP515" si="2273">+BP514+BE515</f>
        <v>34829955</v>
      </c>
      <c r="BQ515" s="66"/>
      <c r="BR515" s="435">
        <f t="shared" ref="BR515" si="2274">+BP515/BC515</f>
        <v>6.4057612965539509E-2</v>
      </c>
      <c r="BS515" s="66"/>
      <c r="BT515" s="75"/>
      <c r="BU515" s="170"/>
      <c r="BV515" s="1"/>
      <c r="BW515" s="61">
        <f t="shared" si="1175"/>
        <v>506</v>
      </c>
    </row>
    <row r="516" spans="2:85" x14ac:dyDescent="0.3">
      <c r="B516" s="347">
        <f t="shared" si="424"/>
        <v>44416</v>
      </c>
      <c r="C516" s="61"/>
      <c r="D516" s="17">
        <v>24390</v>
      </c>
      <c r="E516" s="16"/>
      <c r="F516" s="16"/>
      <c r="G516" s="16"/>
      <c r="H516" s="16">
        <f t="shared" ref="H516" si="2275">+H515+D516</f>
        <v>35761323</v>
      </c>
      <c r="I516" s="16"/>
      <c r="J516" s="436">
        <f t="shared" ref="J516" si="2276">+D516/H515</f>
        <v>6.8248721847507176E-4</v>
      </c>
      <c r="K516" s="16"/>
      <c r="L516" s="16"/>
      <c r="M516" s="16"/>
      <c r="N516" s="16">
        <f t="shared" ref="N516" si="2277">SUM(D510:D516)</f>
        <v>618397</v>
      </c>
      <c r="O516" s="16">
        <f t="shared" ref="O516" si="2278">+H516/BW516</f>
        <v>70535.153846153844</v>
      </c>
      <c r="P516" s="41"/>
      <c r="Q516" s="17">
        <f t="shared" ref="Q516" si="2279">SUM(D510:D516)</f>
        <v>618397</v>
      </c>
      <c r="R516" s="16"/>
      <c r="S516" s="60">
        <f t="shared" ref="S516" si="2280">+(Q516-Q509)/Q509</f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ref="Z516" si="2281">SUM(W511:W516)</f>
        <v>2930</v>
      </c>
      <c r="AA516" s="33">
        <f t="shared" ref="AA516" si="2282">+AA515+W516</f>
        <v>616075</v>
      </c>
      <c r="AB516" s="33"/>
      <c r="AC516" s="46">
        <f t="shared" ref="AC516" si="2283">+AA516/H516</f>
        <v>1.7227410742046652E-2</v>
      </c>
      <c r="AD516" s="33"/>
      <c r="AE516" s="33">
        <f t="shared" ref="AE516" si="2284">+AA516/BW516</f>
        <v>1215.1380670611441</v>
      </c>
      <c r="AF516" s="50"/>
      <c r="AG516" s="33">
        <f t="shared" ref="AG516" si="2285">SUM(W510:W516)</f>
        <v>3143</v>
      </c>
      <c r="AH516" s="33">
        <f t="shared" ref="AH516" si="2286">SUM(D487:D920)</f>
        <v>1118178676.060914</v>
      </c>
      <c r="AI516" s="213">
        <f t="shared" ref="AI516" si="2287">+(AG516-AG509)/AG509</f>
        <v>0.44638748274275197</v>
      </c>
      <c r="AJ516" s="50"/>
      <c r="AK516" s="111"/>
      <c r="AL516" s="23">
        <f t="shared" ref="AL516" si="2288">+AP516-AP515</f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ref="AR516" si="2289">+AL516/AP515</f>
        <v>2.4316789173504862E-4</v>
      </c>
      <c r="AS516" s="25"/>
      <c r="AT516" s="25"/>
      <c r="AU516" s="24"/>
      <c r="AV516" s="298">
        <f t="shared" ref="AV516" si="2290">+AP516/H516</f>
        <v>0.8349540647587339</v>
      </c>
      <c r="AW516" s="298"/>
      <c r="AX516" s="24">
        <f t="shared" ref="AX516" si="2291">+AP516/BW516</f>
        <v>58893.613412228799</v>
      </c>
      <c r="AY516" s="308"/>
      <c r="AZ516" s="111"/>
      <c r="BA516" s="65">
        <f t="shared" ref="BA516" si="2292">+BC516-BC515</f>
        <v>652881</v>
      </c>
      <c r="BB516" s="66"/>
      <c r="BC516" s="66">
        <v>544381462</v>
      </c>
      <c r="BD516" s="66"/>
      <c r="BE516" s="66">
        <f t="shared" ref="BE516" si="2293">+D516</f>
        <v>24390</v>
      </c>
      <c r="BF516" s="66"/>
      <c r="BG516" s="144">
        <f t="shared" ref="BG516" si="2294">+BE516/BA516</f>
        <v>3.73574970017507E-2</v>
      </c>
      <c r="BH516" s="66"/>
      <c r="BI516" s="170"/>
      <c r="BJ516" s="66"/>
      <c r="BK516" s="66">
        <f t="shared" ref="BK516" si="2295">SUM(BA510:BA516)</f>
        <v>14463413</v>
      </c>
      <c r="BL516" s="66"/>
      <c r="BM516" s="144">
        <f t="shared" ref="BM516" si="2296">+Q516/BK516</f>
        <v>4.2755952554213862E-2</v>
      </c>
      <c r="BN516" s="65">
        <f t="shared" ref="BN516" si="2297">+BC516/BW516</f>
        <v>1073730.6942800789</v>
      </c>
      <c r="BO516" s="66"/>
      <c r="BP516" s="66">
        <f t="shared" ref="BP516" si="2298">+BP515+BE516</f>
        <v>34854345</v>
      </c>
      <c r="BQ516" s="66"/>
      <c r="BR516" s="435">
        <f t="shared" ref="BR516" si="2299">+BP516/BC516</f>
        <v>6.4025591304944174E-2</v>
      </c>
      <c r="BS516" s="66"/>
      <c r="BT516" s="75"/>
      <c r="BU516" s="170"/>
      <c r="BV516" s="1"/>
      <c r="BW516" s="61">
        <f t="shared" si="1175"/>
        <v>507</v>
      </c>
    </row>
    <row r="517" spans="2:85" x14ac:dyDescent="0.3">
      <c r="B517" s="158">
        <f t="shared" si="424"/>
        <v>44417</v>
      </c>
      <c r="C517" s="61"/>
      <c r="D517" s="17"/>
      <c r="E517" s="16"/>
      <c r="F517" s="16"/>
      <c r="G517" s="16"/>
      <c r="H517" s="16"/>
      <c r="I517" s="16"/>
      <c r="J517" s="436"/>
      <c r="K517" s="16"/>
      <c r="L517" s="16"/>
      <c r="M517" s="16"/>
      <c r="N517" s="16"/>
      <c r="O517" s="16"/>
      <c r="P517" s="41"/>
      <c r="Q517" s="410"/>
      <c r="R517" s="16"/>
      <c r="S517" s="60"/>
      <c r="T517" s="16"/>
      <c r="U517" s="41"/>
      <c r="V517" s="10"/>
      <c r="W517" s="34"/>
      <c r="X517" s="33"/>
      <c r="Y517" s="33"/>
      <c r="Z517" s="33"/>
      <c r="AA517" s="33"/>
      <c r="AB517" s="33"/>
      <c r="AC517" s="46"/>
      <c r="AD517" s="33"/>
      <c r="AE517" s="33"/>
      <c r="AF517" s="50"/>
      <c r="AG517" s="33"/>
      <c r="AH517" s="33"/>
      <c r="AI517" s="213"/>
      <c r="AJ517" s="50"/>
      <c r="AK517" s="10"/>
      <c r="AL517" s="23"/>
      <c r="AM517" s="24"/>
      <c r="AN517" s="24"/>
      <c r="AO517" s="24"/>
      <c r="AP517" s="24"/>
      <c r="AQ517" s="24"/>
      <c r="AR517" s="461"/>
      <c r="AS517" s="25"/>
      <c r="AT517" s="25"/>
      <c r="AU517" s="24"/>
      <c r="AV517" s="298"/>
      <c r="AW517" s="298"/>
      <c r="AX517" s="24"/>
      <c r="AY517" s="308"/>
      <c r="AZ517" s="10"/>
      <c r="BA517" s="65"/>
      <c r="BB517" s="66"/>
      <c r="BC517" s="66"/>
      <c r="BD517" s="66"/>
      <c r="BE517" s="66"/>
      <c r="BF517" s="66"/>
      <c r="BG517" s="144"/>
      <c r="BH517" s="66"/>
      <c r="BI517" s="170"/>
      <c r="BJ517" s="66"/>
      <c r="BK517" s="66"/>
      <c r="BL517" s="66"/>
      <c r="BM517" s="144"/>
      <c r="BN517" s="65"/>
      <c r="BO517" s="66"/>
      <c r="BP517" s="66"/>
      <c r="BQ517" s="66"/>
      <c r="BR517" s="435"/>
      <c r="BS517" s="66"/>
      <c r="BT517" s="75"/>
      <c r="BU517" s="170"/>
      <c r="BV517" s="1"/>
      <c r="BW517" s="61"/>
    </row>
    <row r="518" spans="2:85" x14ac:dyDescent="0.3">
      <c r="B518" s="158">
        <f t="shared" si="424"/>
        <v>44418</v>
      </c>
      <c r="D518" s="559"/>
      <c r="E518" s="19"/>
      <c r="F518" s="19"/>
      <c r="G518" s="19"/>
      <c r="H518" s="19"/>
      <c r="I518" s="19"/>
      <c r="J518" s="39"/>
      <c r="K518" s="19"/>
      <c r="L518" s="19"/>
      <c r="M518" s="19"/>
      <c r="N518" s="19"/>
      <c r="O518" s="19"/>
      <c r="P518" s="43"/>
      <c r="Q518" s="18"/>
      <c r="R518" s="19"/>
      <c r="S518" s="19"/>
      <c r="T518" s="19"/>
      <c r="U518" s="43"/>
      <c r="V518" s="1"/>
      <c r="W518" s="35"/>
      <c r="X518" s="36"/>
      <c r="Y518" s="36"/>
      <c r="Z518" s="36"/>
      <c r="AA518" s="36"/>
      <c r="AB518" s="36"/>
      <c r="AC518" s="47"/>
      <c r="AD518" s="36"/>
      <c r="AE518" s="36"/>
      <c r="AF518" s="51"/>
      <c r="AG518" s="36"/>
      <c r="AH518" s="36"/>
      <c r="AI518" s="36"/>
      <c r="AJ518" s="51"/>
      <c r="AK518" s="1"/>
      <c r="AL518" s="26"/>
      <c r="AM518" s="27"/>
      <c r="AN518" s="27"/>
      <c r="AO518" s="27"/>
      <c r="AP518" s="27"/>
      <c r="AQ518" s="27"/>
      <c r="AR518" s="27"/>
      <c r="AS518" s="27"/>
      <c r="AT518" s="27"/>
      <c r="AU518" s="27"/>
      <c r="AV518" s="300"/>
      <c r="AW518" s="300"/>
      <c r="AX518" s="27"/>
      <c r="AY518" s="307"/>
      <c r="AZ518" s="1"/>
      <c r="BA518" s="67"/>
      <c r="BB518" s="68"/>
      <c r="BC518" s="68"/>
      <c r="BD518" s="68"/>
      <c r="BE518" s="68"/>
      <c r="BF518" s="68"/>
      <c r="BG518" s="68"/>
      <c r="BH518" s="68"/>
      <c r="BI518" s="171"/>
      <c r="BJ518" s="68"/>
      <c r="BK518" s="68"/>
      <c r="BL518" s="68"/>
      <c r="BM518" s="68"/>
      <c r="BN518" s="67"/>
      <c r="BO518" s="68"/>
      <c r="BP518" s="68"/>
      <c r="BQ518" s="68"/>
      <c r="BR518" s="70"/>
      <c r="BS518" s="68"/>
      <c r="BT518" s="68"/>
      <c r="BU518" s="171"/>
      <c r="BV518" s="1"/>
      <c r="BW518" s="61">
        <f>+BW461+1</f>
        <v>453</v>
      </c>
    </row>
    <row r="519" spans="2:85" x14ac:dyDescent="0.3">
      <c r="B519" s="56"/>
      <c r="D519" s="1"/>
      <c r="E519" s="1"/>
      <c r="F519" s="1"/>
      <c r="G519" s="1"/>
      <c r="H519" s="59"/>
      <c r="I519" s="1"/>
      <c r="J519" s="5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59"/>
      <c r="X519" s="1"/>
      <c r="Y519" s="1"/>
      <c r="Z519" s="1"/>
      <c r="AA519" s="1"/>
      <c r="AB519" s="1"/>
      <c r="AC519" s="59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59"/>
      <c r="BD519" s="1"/>
      <c r="BE519" s="59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2:85" x14ac:dyDescent="0.3">
      <c r="B520" s="166" t="s">
        <v>74</v>
      </c>
      <c r="D520" s="56">
        <f>+D516</f>
        <v>24390</v>
      </c>
      <c r="E520" s="56">
        <f>+E238</f>
        <v>0</v>
      </c>
      <c r="F520" s="56">
        <f>+F238</f>
        <v>0</v>
      </c>
      <c r="G520" s="56">
        <f>+G238</f>
        <v>0</v>
      </c>
      <c r="H520" s="56">
        <f t="shared" ref="H520:BS520" si="2300">+H516</f>
        <v>35761323</v>
      </c>
      <c r="I520" s="56">
        <f t="shared" si="2300"/>
        <v>0</v>
      </c>
      <c r="J520" s="56">
        <f t="shared" si="2300"/>
        <v>6.8248721847507176E-4</v>
      </c>
      <c r="K520" s="56">
        <f t="shared" si="2300"/>
        <v>0</v>
      </c>
      <c r="L520" s="56">
        <f t="shared" si="2300"/>
        <v>0</v>
      </c>
      <c r="M520" s="56">
        <f t="shared" si="2300"/>
        <v>0</v>
      </c>
      <c r="N520" s="56">
        <f t="shared" si="2300"/>
        <v>618397</v>
      </c>
      <c r="O520" s="56">
        <f t="shared" si="2300"/>
        <v>70535.153846153844</v>
      </c>
      <c r="P520" s="56">
        <f t="shared" si="2300"/>
        <v>0</v>
      </c>
      <c r="Q520" s="56">
        <f t="shared" si="2300"/>
        <v>618397</v>
      </c>
      <c r="R520" s="56">
        <f t="shared" si="2300"/>
        <v>0</v>
      </c>
      <c r="S520" s="56">
        <f t="shared" si="2300"/>
        <v>0.40159969900817755</v>
      </c>
      <c r="T520" s="56">
        <f t="shared" si="2300"/>
        <v>0</v>
      </c>
      <c r="U520" s="56">
        <f t="shared" si="2300"/>
        <v>0</v>
      </c>
      <c r="V520" s="56"/>
      <c r="W520" s="56">
        <f t="shared" si="2300"/>
        <v>129</v>
      </c>
      <c r="X520" s="56">
        <f t="shared" si="2300"/>
        <v>4256</v>
      </c>
      <c r="Y520" s="56">
        <f t="shared" si="2300"/>
        <v>0</v>
      </c>
      <c r="Z520" s="56">
        <f t="shared" si="2300"/>
        <v>2930</v>
      </c>
      <c r="AA520" s="56">
        <f t="shared" si="2300"/>
        <v>616075</v>
      </c>
      <c r="AB520" s="56">
        <f t="shared" si="2300"/>
        <v>0</v>
      </c>
      <c r="AC520" s="56">
        <f t="shared" si="2300"/>
        <v>1.7227410742046652E-2</v>
      </c>
      <c r="AD520" s="56">
        <f t="shared" si="2300"/>
        <v>0</v>
      </c>
      <c r="AE520" s="56">
        <f t="shared" si="2300"/>
        <v>1215.1380670611441</v>
      </c>
      <c r="AF520" s="56">
        <f t="shared" si="2300"/>
        <v>0</v>
      </c>
      <c r="AG520" s="56">
        <f t="shared" si="2300"/>
        <v>3143</v>
      </c>
      <c r="AH520" s="56">
        <f t="shared" si="2300"/>
        <v>1118178676.060914</v>
      </c>
      <c r="AI520" s="56">
        <f t="shared" si="2300"/>
        <v>0.44638748274275197</v>
      </c>
      <c r="AJ520" s="56">
        <f t="shared" si="2300"/>
        <v>0</v>
      </c>
      <c r="AK520" s="56">
        <f t="shared" si="2300"/>
        <v>0</v>
      </c>
      <c r="AL520" s="56">
        <f t="shared" si="2300"/>
        <v>7259</v>
      </c>
      <c r="AM520" s="56">
        <f t="shared" si="2300"/>
        <v>0</v>
      </c>
      <c r="AN520" s="56">
        <f t="shared" si="2300"/>
        <v>0</v>
      </c>
      <c r="AO520" s="56">
        <f t="shared" si="2300"/>
        <v>178263</v>
      </c>
      <c r="AP520" s="56">
        <f t="shared" si="2300"/>
        <v>29859062</v>
      </c>
      <c r="AQ520" s="56">
        <f t="shared" si="2300"/>
        <v>20336656</v>
      </c>
      <c r="AR520" s="56">
        <f t="shared" si="2300"/>
        <v>2.4316789173504862E-4</v>
      </c>
      <c r="AS520" s="56">
        <f t="shared" si="2300"/>
        <v>0</v>
      </c>
      <c r="AT520" s="56">
        <f t="shared" si="2300"/>
        <v>0</v>
      </c>
      <c r="AU520" s="56">
        <f t="shared" si="2300"/>
        <v>0</v>
      </c>
      <c r="AV520" s="56">
        <f t="shared" si="2300"/>
        <v>0.8349540647587339</v>
      </c>
      <c r="AW520" s="56">
        <f t="shared" si="2300"/>
        <v>0</v>
      </c>
      <c r="AX520" s="56">
        <f t="shared" si="2300"/>
        <v>58893.613412228799</v>
      </c>
      <c r="AY520" s="56">
        <f t="shared" si="2300"/>
        <v>0</v>
      </c>
      <c r="AZ520" s="56">
        <f t="shared" si="2300"/>
        <v>0</v>
      </c>
      <c r="BA520" s="56">
        <f t="shared" si="2300"/>
        <v>652881</v>
      </c>
      <c r="BB520" s="56">
        <f t="shared" si="2300"/>
        <v>0</v>
      </c>
      <c r="BC520" s="56">
        <f t="shared" si="2300"/>
        <v>544381462</v>
      </c>
      <c r="BD520" s="56">
        <f t="shared" si="2300"/>
        <v>0</v>
      </c>
      <c r="BE520" s="56">
        <f t="shared" si="2300"/>
        <v>24390</v>
      </c>
      <c r="BF520" s="56">
        <f t="shared" si="2300"/>
        <v>0</v>
      </c>
      <c r="BG520" s="56">
        <f t="shared" si="2300"/>
        <v>3.73574970017507E-2</v>
      </c>
      <c r="BH520" s="56">
        <f t="shared" si="2300"/>
        <v>0</v>
      </c>
      <c r="BI520" s="56">
        <f t="shared" si="2300"/>
        <v>0</v>
      </c>
      <c r="BJ520" s="56">
        <f t="shared" si="2300"/>
        <v>0</v>
      </c>
      <c r="BK520" s="56">
        <f t="shared" si="2300"/>
        <v>14463413</v>
      </c>
      <c r="BL520" s="56">
        <f t="shared" si="2300"/>
        <v>0</v>
      </c>
      <c r="BM520" s="56">
        <f t="shared" si="2300"/>
        <v>4.2755952554213862E-2</v>
      </c>
      <c r="BN520" s="56">
        <f t="shared" si="2300"/>
        <v>1073730.6942800789</v>
      </c>
      <c r="BO520" s="56">
        <f t="shared" si="2300"/>
        <v>0</v>
      </c>
      <c r="BP520" s="56">
        <f t="shared" si="2300"/>
        <v>34854345</v>
      </c>
      <c r="BQ520" s="56">
        <f t="shared" si="2300"/>
        <v>0</v>
      </c>
      <c r="BR520" s="56">
        <f t="shared" si="2300"/>
        <v>6.4025591304944174E-2</v>
      </c>
      <c r="BS520" s="56">
        <f t="shared" si="2300"/>
        <v>0</v>
      </c>
      <c r="BT520" s="56">
        <f t="shared" ref="BT520" si="2301">+BT516</f>
        <v>0</v>
      </c>
      <c r="BU520" s="56">
        <f>+BU509</f>
        <v>0</v>
      </c>
      <c r="BV520" s="56">
        <f>+BV505</f>
        <v>0</v>
      </c>
      <c r="BW520" s="56"/>
      <c r="BX520" s="56"/>
      <c r="BY520" s="56"/>
      <c r="BZ520" s="56"/>
      <c r="CA520" s="56"/>
      <c r="CB520" s="56"/>
      <c r="CC520" s="56"/>
      <c r="CD520" s="56"/>
      <c r="CE520" s="61"/>
      <c r="CF520" s="61"/>
      <c r="CG520" s="145"/>
    </row>
    <row r="521" spans="2:85" x14ac:dyDescent="0.3">
      <c r="B521" t="s">
        <v>105</v>
      </c>
      <c r="D521" s="56">
        <f>+D515-D520</f>
        <v>44560</v>
      </c>
      <c r="E521" s="56">
        <f>+E237-E520</f>
        <v>0</v>
      </c>
      <c r="F521" s="56">
        <f>+F237-F520</f>
        <v>0</v>
      </c>
      <c r="G521" s="56">
        <f>+G237-G520</f>
        <v>0</v>
      </c>
      <c r="H521" s="56">
        <f t="shared" ref="H521:BS521" si="2302">+H515-H520</f>
        <v>-24390</v>
      </c>
      <c r="I521" s="56">
        <f t="shared" si="2302"/>
        <v>0</v>
      </c>
      <c r="J521" s="56">
        <f t="shared" si="2302"/>
        <v>1.2506190073521637E-3</v>
      </c>
      <c r="K521" s="56">
        <f t="shared" si="2302"/>
        <v>0</v>
      </c>
      <c r="L521" s="56">
        <f t="shared" si="2302"/>
        <v>0</v>
      </c>
      <c r="M521" s="56">
        <f t="shared" si="2302"/>
        <v>0</v>
      </c>
      <c r="N521" s="56">
        <f t="shared" si="2302"/>
        <v>-2622</v>
      </c>
      <c r="O521" s="56">
        <f t="shared" si="2302"/>
        <v>91.195956217692583</v>
      </c>
      <c r="P521" s="56">
        <f t="shared" si="2302"/>
        <v>0</v>
      </c>
      <c r="Q521" s="56">
        <f t="shared" si="2302"/>
        <v>-2622</v>
      </c>
      <c r="R521" s="56">
        <f t="shared" si="2302"/>
        <v>0</v>
      </c>
      <c r="S521" s="56">
        <f t="shared" si="2302"/>
        <v>1.9666613443063974E-2</v>
      </c>
      <c r="T521" s="56">
        <f t="shared" si="2302"/>
        <v>0</v>
      </c>
      <c r="U521" s="56">
        <f t="shared" si="2302"/>
        <v>0</v>
      </c>
      <c r="V521" s="56"/>
      <c r="W521" s="56">
        <f t="shared" si="2302"/>
        <v>191</v>
      </c>
      <c r="X521" s="56">
        <f t="shared" si="2302"/>
        <v>0</v>
      </c>
      <c r="Y521" s="56">
        <f t="shared" si="2302"/>
        <v>0</v>
      </c>
      <c r="Z521" s="56">
        <f t="shared" si="2302"/>
        <v>84</v>
      </c>
      <c r="AA521" s="56">
        <f t="shared" si="2302"/>
        <v>-129</v>
      </c>
      <c r="AB521" s="56">
        <f t="shared" si="2302"/>
        <v>0</v>
      </c>
      <c r="AC521" s="56">
        <f t="shared" si="2302"/>
        <v>8.1477766432427878E-6</v>
      </c>
      <c r="AD521" s="56">
        <f t="shared" si="2302"/>
        <v>0</v>
      </c>
      <c r="AE521" s="56">
        <f t="shared" si="2302"/>
        <v>2.1465179190931849</v>
      </c>
      <c r="AF521" s="56">
        <f t="shared" si="2302"/>
        <v>0</v>
      </c>
      <c r="AG521" s="56">
        <f t="shared" si="2302"/>
        <v>-65</v>
      </c>
      <c r="AH521" s="56">
        <f t="shared" si="2302"/>
        <v>27237</v>
      </c>
      <c r="AI521" s="56">
        <f t="shared" si="2302"/>
        <v>-2.0066815458229248E-2</v>
      </c>
      <c r="AJ521" s="56">
        <f t="shared" si="2302"/>
        <v>0</v>
      </c>
      <c r="AK521" s="56">
        <f t="shared" si="2302"/>
        <v>0</v>
      </c>
      <c r="AL521" s="56">
        <f t="shared" si="2302"/>
        <v>10072</v>
      </c>
      <c r="AM521" s="56">
        <f t="shared" si="2302"/>
        <v>0</v>
      </c>
      <c r="AN521" s="56">
        <f t="shared" si="2302"/>
        <v>0</v>
      </c>
      <c r="AO521" s="56">
        <f t="shared" si="2302"/>
        <v>0</v>
      </c>
      <c r="AP521" s="56">
        <f t="shared" si="2302"/>
        <v>-7259</v>
      </c>
      <c r="AQ521" s="56">
        <f t="shared" si="2302"/>
        <v>0</v>
      </c>
      <c r="AR521" s="56">
        <f t="shared" si="2302"/>
        <v>3.3773731081051682E-4</v>
      </c>
      <c r="AS521" s="56">
        <f t="shared" si="2302"/>
        <v>0</v>
      </c>
      <c r="AT521" s="56">
        <f t="shared" si="2302"/>
        <v>0</v>
      </c>
      <c r="AU521" s="56">
        <f t="shared" si="2302"/>
        <v>0</v>
      </c>
      <c r="AV521" s="56">
        <f t="shared" si="2302"/>
        <v>3.6672228250433925E-4</v>
      </c>
      <c r="AW521" s="56">
        <f t="shared" si="2302"/>
        <v>0</v>
      </c>
      <c r="AX521" s="56">
        <f t="shared" si="2302"/>
        <v>102.0446905380013</v>
      </c>
      <c r="AY521" s="56">
        <f t="shared" si="2302"/>
        <v>0</v>
      </c>
      <c r="AZ521" s="56">
        <f t="shared" si="2302"/>
        <v>0</v>
      </c>
      <c r="BA521" s="56">
        <f t="shared" si="2302"/>
        <v>183853</v>
      </c>
      <c r="BB521" s="56">
        <f t="shared" si="2302"/>
        <v>0</v>
      </c>
      <c r="BC521" s="56">
        <f t="shared" si="2302"/>
        <v>-652881</v>
      </c>
      <c r="BD521" s="56">
        <f t="shared" si="2302"/>
        <v>0</v>
      </c>
      <c r="BE521" s="56">
        <f t="shared" si="2302"/>
        <v>44560</v>
      </c>
      <c r="BF521" s="56">
        <f t="shared" si="2302"/>
        <v>0</v>
      </c>
      <c r="BG521" s="56">
        <f t="shared" si="2302"/>
        <v>4.5046229869632554E-2</v>
      </c>
      <c r="BH521" s="56">
        <f t="shared" si="2302"/>
        <v>0</v>
      </c>
      <c r="BI521" s="56">
        <f t="shared" si="2302"/>
        <v>0</v>
      </c>
      <c r="BJ521" s="56">
        <f t="shared" si="2302"/>
        <v>0</v>
      </c>
      <c r="BK521" s="56">
        <f t="shared" si="2302"/>
        <v>-414652</v>
      </c>
      <c r="BL521" s="56">
        <f t="shared" si="2302"/>
        <v>0</v>
      </c>
      <c r="BM521" s="56">
        <f t="shared" si="2302"/>
        <v>1.0753148436726812E-3</v>
      </c>
      <c r="BN521" s="56">
        <f t="shared" si="2302"/>
        <v>831.71876339940354</v>
      </c>
      <c r="BO521" s="56">
        <f t="shared" si="2302"/>
        <v>0</v>
      </c>
      <c r="BP521" s="56">
        <f t="shared" si="2302"/>
        <v>-24390</v>
      </c>
      <c r="BQ521" s="56">
        <f t="shared" si="2302"/>
        <v>0</v>
      </c>
      <c r="BR521" s="56">
        <f t="shared" si="2302"/>
        <v>3.202166059533551E-5</v>
      </c>
      <c r="BS521" s="56">
        <f t="shared" si="2302"/>
        <v>0</v>
      </c>
      <c r="BT521" s="56">
        <f t="shared" ref="BT521" si="2303">+BT515-BT520</f>
        <v>0</v>
      </c>
      <c r="BU521" s="56">
        <f>+BU508-BU520</f>
        <v>0</v>
      </c>
      <c r="BV521" s="56">
        <f>+BV504-BV520</f>
        <v>0</v>
      </c>
      <c r="BW521" s="56"/>
      <c r="BX521" s="56"/>
      <c r="BY521" s="56"/>
      <c r="BZ521" s="56"/>
      <c r="CA521" s="56"/>
      <c r="CB521" s="56"/>
      <c r="CC521" s="56"/>
      <c r="CD521" s="56"/>
      <c r="CE521" s="61"/>
      <c r="CF521" s="61"/>
      <c r="CG521" s="105"/>
    </row>
    <row r="522" spans="2:85" x14ac:dyDescent="0.3">
      <c r="B522" s="56"/>
      <c r="D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10"/>
      <c r="BT522" s="10"/>
      <c r="BU522" s="10"/>
      <c r="BV522" s="10"/>
      <c r="BW522" s="10"/>
      <c r="BX522" s="10"/>
      <c r="BY522" s="10"/>
      <c r="BZ522" s="10"/>
      <c r="CA522" s="10"/>
      <c r="CB522" s="61"/>
      <c r="CC522" s="105"/>
      <c r="CD522" s="105"/>
      <c r="CE522" s="105"/>
      <c r="CF522" s="105"/>
    </row>
    <row r="523" spans="2:85" x14ac:dyDescent="0.3">
      <c r="B523" s="56"/>
      <c r="D523" s="56"/>
      <c r="H523" s="1"/>
      <c r="N523" s="145"/>
      <c r="O523" s="1"/>
      <c r="W523" s="56"/>
      <c r="AA523" s="59"/>
      <c r="BA523" s="59"/>
      <c r="BC523" s="56"/>
      <c r="BE523" s="59"/>
      <c r="BJ523" s="61"/>
      <c r="BK523" s="10">
        <f>+BK187</f>
        <v>4928581</v>
      </c>
      <c r="BL523" s="61"/>
      <c r="BM523" s="61"/>
      <c r="BN523" s="61"/>
      <c r="BO523" s="61"/>
      <c r="BP523" s="61"/>
      <c r="BQ523" s="61"/>
      <c r="BR523" s="61"/>
      <c r="BS523" s="10"/>
      <c r="BT523" s="10"/>
    </row>
    <row r="524" spans="2:85" x14ac:dyDescent="0.3">
      <c r="B524" s="56"/>
      <c r="D524" s="56"/>
      <c r="H524" s="56"/>
      <c r="N524" s="231"/>
      <c r="W524" s="56"/>
      <c r="AA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56"/>
      <c r="AU524" t="s">
        <v>161</v>
      </c>
      <c r="BC524" s="1"/>
      <c r="BE524" s="59"/>
      <c r="BH524" s="96"/>
      <c r="BI524" s="96"/>
      <c r="BJ524" s="96"/>
      <c r="BK524" s="493"/>
      <c r="BL524" s="96"/>
      <c r="BM524" s="96"/>
      <c r="BN524" s="96"/>
      <c r="BO524" s="96"/>
      <c r="BP524" s="96"/>
      <c r="BQ524" s="96"/>
      <c r="BR524" s="78"/>
      <c r="BS524" s="1"/>
      <c r="BT524" s="1"/>
    </row>
    <row r="525" spans="2:85" x14ac:dyDescent="0.3">
      <c r="D525" s="1"/>
      <c r="E525" s="111" t="s">
        <v>26</v>
      </c>
      <c r="F525" s="112"/>
      <c r="H525" s="112" t="s">
        <v>59</v>
      </c>
      <c r="I525" s="104"/>
      <c r="J525" s="104"/>
      <c r="K525" s="61"/>
      <c r="L525" s="10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BC525" s="56"/>
      <c r="BE525" s="59"/>
      <c r="BH525" s="96"/>
      <c r="BI525" s="96"/>
      <c r="BJ525" s="96"/>
      <c r="BK525" s="493">
        <f>+BK194-BK520</f>
        <v>-8700304</v>
      </c>
      <c r="BL525" s="96"/>
      <c r="BM525" s="96"/>
      <c r="BN525" s="96"/>
      <c r="BO525" s="96"/>
      <c r="BP525" s="96"/>
      <c r="BQ525" s="96"/>
      <c r="BR525" s="78"/>
      <c r="BS525" s="1"/>
      <c r="BT525" s="1"/>
    </row>
    <row r="526" spans="2:85" x14ac:dyDescent="0.3">
      <c r="B526" s="56"/>
      <c r="D526" s="1"/>
      <c r="E526" s="111" t="s">
        <v>38</v>
      </c>
      <c r="F526" s="112"/>
      <c r="H526" s="112" t="s">
        <v>40</v>
      </c>
      <c r="I526" s="10"/>
      <c r="J526" s="10"/>
      <c r="K526" s="61"/>
      <c r="L526" s="10"/>
      <c r="AD526" s="1"/>
      <c r="AE526" s="1"/>
      <c r="AF526" s="1"/>
      <c r="AG526" s="1"/>
      <c r="AH526" s="1"/>
      <c r="AI526" s="1">
        <f>SUM(W213:W243)</f>
        <v>25465</v>
      </c>
      <c r="AJ526" s="1"/>
      <c r="AK526" s="1"/>
      <c r="AL526" s="1" t="s">
        <v>17</v>
      </c>
      <c r="AM526" s="1"/>
      <c r="AN526" s="1"/>
      <c r="AO526" s="1"/>
      <c r="BC526" s="56"/>
      <c r="BE526" s="59"/>
      <c r="BH526" s="97"/>
      <c r="BI526" s="97"/>
      <c r="BJ526" s="97"/>
      <c r="BK526" s="493">
        <f>+BK187-BK520</f>
        <v>-9534832</v>
      </c>
      <c r="BL526" s="97"/>
      <c r="BM526" s="97"/>
      <c r="BN526" s="97"/>
      <c r="BO526" s="97"/>
      <c r="BP526" s="97"/>
      <c r="BQ526" s="97"/>
      <c r="BR526" s="78"/>
      <c r="BS526" s="1"/>
      <c r="BT526" s="1"/>
    </row>
    <row r="527" spans="2:85" x14ac:dyDescent="0.3">
      <c r="B527" s="231"/>
      <c r="D527" s="1"/>
      <c r="E527" s="111" t="s">
        <v>45</v>
      </c>
      <c r="F527" s="112"/>
      <c r="H527" s="112" t="s">
        <v>55</v>
      </c>
      <c r="I527" s="10"/>
      <c r="J527" s="10"/>
      <c r="K527" s="61"/>
      <c r="L527" s="10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BC527" s="56"/>
      <c r="BE527" s="59"/>
      <c r="BH527" s="97"/>
      <c r="BI527" s="97"/>
      <c r="BJ527" s="97"/>
      <c r="BK527" s="493"/>
      <c r="BL527" s="97"/>
      <c r="BM527" s="97"/>
      <c r="BN527" s="97"/>
      <c r="BO527" s="97"/>
      <c r="BP527" s="97"/>
      <c r="BQ527" s="97"/>
      <c r="BR527" s="78"/>
      <c r="BS527" s="1"/>
      <c r="BT527" s="1"/>
    </row>
    <row r="528" spans="2:85" x14ac:dyDescent="0.3">
      <c r="D528" s="1"/>
      <c r="E528" s="111" t="s">
        <v>60</v>
      </c>
      <c r="F528" s="61"/>
      <c r="H528" s="81" t="s">
        <v>135</v>
      </c>
      <c r="I528" s="61"/>
      <c r="J528" s="61"/>
      <c r="K528" s="61"/>
      <c r="L528" s="6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BH528" s="97"/>
      <c r="BI528" s="97"/>
      <c r="BJ528" s="97"/>
      <c r="BK528" s="496"/>
      <c r="BL528" s="97"/>
      <c r="BM528" s="97"/>
      <c r="BN528" s="97"/>
      <c r="BO528" s="97"/>
      <c r="BP528" s="97"/>
      <c r="BQ528" s="97"/>
      <c r="BR528" s="78"/>
      <c r="BS528" s="1"/>
      <c r="BT528" s="1"/>
    </row>
    <row r="529" spans="2:72" x14ac:dyDescent="0.3">
      <c r="E529" s="111" t="s">
        <v>136</v>
      </c>
      <c r="H529" s="81" t="s">
        <v>137</v>
      </c>
      <c r="AD529" s="1"/>
      <c r="AE529" s="1"/>
      <c r="AF529" s="1"/>
      <c r="AG529" s="1"/>
      <c r="AH529" s="1"/>
      <c r="AI529" s="1"/>
      <c r="BD529" s="78"/>
      <c r="BE529" s="78"/>
      <c r="BF529" s="78"/>
      <c r="BG529" s="78"/>
      <c r="BH529" s="78"/>
      <c r="BI529" s="78"/>
      <c r="BJ529" s="78"/>
      <c r="BK529" s="494"/>
      <c r="BL529" s="78"/>
      <c r="BM529" s="78"/>
      <c r="BN529" s="78"/>
      <c r="BO529" s="78"/>
      <c r="BP529" s="78"/>
      <c r="BQ529" s="78"/>
      <c r="BR529" s="78"/>
      <c r="BS529" s="1"/>
      <c r="BT529" s="1"/>
    </row>
    <row r="530" spans="2:72" x14ac:dyDescent="0.3">
      <c r="B530" s="56"/>
      <c r="AD530" s="1"/>
      <c r="AE530" s="1"/>
      <c r="AF530" s="1"/>
      <c r="AG530" s="1"/>
      <c r="AH530" s="1"/>
      <c r="AI530" s="1"/>
      <c r="BA530" s="545">
        <v>157602857</v>
      </c>
      <c r="BK530" s="495"/>
    </row>
    <row r="531" spans="2:72" ht="15" thickBot="1" x14ac:dyDescent="0.35">
      <c r="D531" s="56">
        <f>SUM(D363:D369)</f>
        <v>378583</v>
      </c>
      <c r="AD531" s="1"/>
      <c r="AE531" s="507"/>
      <c r="AF531" s="547"/>
      <c r="AG531" s="507"/>
      <c r="AH531" s="507"/>
      <c r="AI531" s="507"/>
      <c r="AJ531" s="500"/>
      <c r="AK531" s="500"/>
      <c r="AL531" s="500"/>
      <c r="AM531" s="500"/>
      <c r="AN531" s="500"/>
      <c r="AO531" s="500"/>
      <c r="AP531" s="500"/>
      <c r="AQ531" s="500"/>
      <c r="AR531" s="500"/>
      <c r="AS531" s="500"/>
      <c r="AT531" s="500"/>
      <c r="AU531" s="500"/>
      <c r="AV531" s="500"/>
      <c r="AW531" s="500"/>
      <c r="AX531" s="500"/>
      <c r="AZ531" s="106"/>
      <c r="BA531" s="106"/>
      <c r="BB531" s="106"/>
      <c r="BC531" s="106"/>
      <c r="BK531" s="1"/>
    </row>
    <row r="532" spans="2:72" x14ac:dyDescent="0.3">
      <c r="D532" s="531">
        <f>SUM(D356:D362)</f>
        <v>417052</v>
      </c>
      <c r="J532" s="486"/>
      <c r="V532" s="106"/>
      <c r="AA532" s="56"/>
      <c r="AD532" s="1"/>
      <c r="AE532" s="507"/>
      <c r="AF532" s="546"/>
      <c r="AG532" s="1"/>
      <c r="AH532" s="1"/>
      <c r="AI532" s="485"/>
      <c r="AJ532" s="464"/>
      <c r="AK532" s="465"/>
      <c r="AL532" s="465"/>
      <c r="AM532" s="465"/>
      <c r="AN532" s="465"/>
      <c r="AO532" s="465"/>
      <c r="AP532" s="465"/>
      <c r="AQ532" s="465"/>
      <c r="AR532" s="465"/>
      <c r="AS532" s="465"/>
      <c r="AT532" s="465"/>
      <c r="AU532" s="465"/>
      <c r="AV532" s="465"/>
      <c r="AW532" s="466"/>
      <c r="AX532" s="500"/>
      <c r="AZ532" s="106"/>
      <c r="BA532" s="77"/>
      <c r="BB532" s="106"/>
      <c r="BC532" s="106"/>
      <c r="BK532" s="56"/>
    </row>
    <row r="533" spans="2:72" x14ac:dyDescent="0.3">
      <c r="D533" s="1"/>
      <c r="J533" s="214"/>
      <c r="AD533" s="1"/>
      <c r="AE533" s="507"/>
      <c r="AF533" s="546"/>
      <c r="AG533" s="1"/>
      <c r="AH533" s="1"/>
      <c r="AI533" s="485"/>
      <c r="AJ533" s="467"/>
      <c r="AK533" s="587" t="s">
        <v>142</v>
      </c>
      <c r="AL533" s="587"/>
      <c r="AM533" s="587"/>
      <c r="AN533" s="587"/>
      <c r="AO533" s="587"/>
      <c r="AP533" s="587"/>
      <c r="AQ533" s="587"/>
      <c r="AR533" s="587"/>
      <c r="AS533" s="587"/>
      <c r="AT533" s="587"/>
      <c r="AU533" s="587"/>
      <c r="AV533" s="587"/>
      <c r="AW533" s="468"/>
      <c r="AX533" s="500"/>
      <c r="AZ533" s="106"/>
      <c r="BA533" s="106"/>
      <c r="BB533" s="106"/>
      <c r="BC533" s="106"/>
    </row>
    <row r="534" spans="2:72" ht="15.6" x14ac:dyDescent="0.3">
      <c r="D534" s="1">
        <v>331000000</v>
      </c>
      <c r="H534" s="235">
        <f>+H269/D534</f>
        <v>4.5635842900302113E-2</v>
      </c>
      <c r="J534" s="57"/>
      <c r="AD534" s="1"/>
      <c r="AE534" s="507"/>
      <c r="AF534" s="546"/>
      <c r="AG534" s="1"/>
      <c r="AH534" s="1"/>
      <c r="AI534" s="485"/>
      <c r="AJ534" s="467"/>
      <c r="AK534" s="587" t="s">
        <v>141</v>
      </c>
      <c r="AL534" s="587"/>
      <c r="AM534" s="587"/>
      <c r="AN534" s="587"/>
      <c r="AO534" s="473"/>
      <c r="AP534" s="474" t="s">
        <v>20</v>
      </c>
      <c r="AQ534" s="473"/>
      <c r="AR534" s="474" t="s">
        <v>4</v>
      </c>
      <c r="AS534" s="475"/>
      <c r="AT534" s="475"/>
      <c r="AU534" s="475"/>
      <c r="AV534" s="479" t="s">
        <v>10</v>
      </c>
      <c r="AW534" s="468"/>
      <c r="AX534" s="500"/>
      <c r="AZ534" s="106"/>
      <c r="BA534" s="106"/>
      <c r="BB534" s="106"/>
      <c r="BC534" s="106"/>
    </row>
    <row r="535" spans="2:72" ht="15.6" x14ac:dyDescent="0.3">
      <c r="H535" s="235">
        <f>+AA269/H269</f>
        <v>1.9000541790705667E-2</v>
      </c>
      <c r="AD535" s="1"/>
      <c r="AE535" s="507"/>
      <c r="AF535" s="546"/>
      <c r="AG535" s="1"/>
      <c r="AH535" s="1"/>
      <c r="AI535" s="485"/>
      <c r="AJ535" s="467"/>
      <c r="AK535" s="586" t="s">
        <v>138</v>
      </c>
      <c r="AL535" s="586"/>
      <c r="AM535" s="586"/>
      <c r="AN535" s="586"/>
      <c r="AO535" s="473"/>
      <c r="AP535" s="476">
        <f>+AH50</f>
        <v>898992</v>
      </c>
      <c r="AQ535" s="477"/>
      <c r="AR535" s="476">
        <f>+AH51</f>
        <v>55687</v>
      </c>
      <c r="AS535" s="478"/>
      <c r="AT535" s="478"/>
      <c r="AU535" s="478"/>
      <c r="AV535" s="491">
        <f t="shared" ref="AV535:AV541" si="2304">+AR535/AP535</f>
        <v>6.194382152455194E-2</v>
      </c>
      <c r="AW535" s="468"/>
      <c r="AX535" s="500"/>
      <c r="AZ535" s="106"/>
      <c r="BA535" s="77"/>
      <c r="BB535" s="106"/>
      <c r="BC535" s="106"/>
    </row>
    <row r="536" spans="2:72" ht="15.6" x14ac:dyDescent="0.3">
      <c r="D536" s="235"/>
      <c r="AD536" s="1"/>
      <c r="AE536" s="507"/>
      <c r="AF536" s="546"/>
      <c r="AG536" s="1"/>
      <c r="AH536" s="1"/>
      <c r="AI536" s="485"/>
      <c r="AJ536" s="467"/>
      <c r="AK536" s="582" t="s">
        <v>139</v>
      </c>
      <c r="AL536" s="583"/>
      <c r="AM536" s="583"/>
      <c r="AN536" s="583"/>
      <c r="AO536" s="64"/>
      <c r="AP536" s="469">
        <f>+AG83</f>
        <v>742147</v>
      </c>
      <c r="AQ536" s="64"/>
      <c r="AR536" s="469">
        <f>+AG84</f>
        <v>42339</v>
      </c>
      <c r="AS536" s="64"/>
      <c r="AT536" s="64"/>
      <c r="AU536" s="64"/>
      <c r="AV536" s="489">
        <f t="shared" si="2304"/>
        <v>5.7049344671608188E-2</v>
      </c>
      <c r="AW536" s="468"/>
      <c r="AX536" s="500"/>
      <c r="AZ536" s="106"/>
      <c r="BA536" s="77"/>
      <c r="BB536" s="106"/>
      <c r="BC536" s="106"/>
    </row>
    <row r="537" spans="2:72" ht="15.6" x14ac:dyDescent="0.3">
      <c r="AD537" s="1"/>
      <c r="AE537" s="507"/>
      <c r="AF537" s="546"/>
      <c r="AG537" s="1"/>
      <c r="AH537" s="1"/>
      <c r="AI537" s="485"/>
      <c r="AJ537" s="467"/>
      <c r="AK537" s="583" t="s">
        <v>140</v>
      </c>
      <c r="AL537" s="583"/>
      <c r="AM537" s="583"/>
      <c r="AN537" s="583"/>
      <c r="AO537" s="64"/>
      <c r="AP537" s="469">
        <f>+AH113</f>
        <v>869627</v>
      </c>
      <c r="AQ537" s="64"/>
      <c r="AR537" s="469">
        <f>+AH114</f>
        <v>21252</v>
      </c>
      <c r="AS537" s="64"/>
      <c r="AT537" s="64"/>
      <c r="AU537" s="64"/>
      <c r="AV537" s="489">
        <f t="shared" si="2304"/>
        <v>2.4438063675575852E-2</v>
      </c>
      <c r="AW537" s="468"/>
      <c r="AX537" s="500"/>
      <c r="AZ537" s="106"/>
      <c r="BA537" s="106"/>
      <c r="BB537" s="106"/>
      <c r="BC537" s="106"/>
    </row>
    <row r="538" spans="2:72" ht="15.6" x14ac:dyDescent="0.3">
      <c r="D538" s="428"/>
      <c r="AD538" s="1"/>
      <c r="AE538" s="507"/>
      <c r="AF538" s="546"/>
      <c r="AG538" s="1"/>
      <c r="AH538" s="1"/>
      <c r="AI538" s="485"/>
      <c r="AJ538" s="467"/>
      <c r="AK538" s="583" t="s">
        <v>143</v>
      </c>
      <c r="AL538" s="583"/>
      <c r="AM538" s="583"/>
      <c r="AN538" s="583"/>
      <c r="AO538" s="64"/>
      <c r="AP538" s="469">
        <f>+AG544</f>
        <v>1970617</v>
      </c>
      <c r="AQ538" s="64"/>
      <c r="AR538" s="469">
        <f>+AG546</f>
        <v>25901</v>
      </c>
      <c r="AS538" s="64"/>
      <c r="AT538" s="64"/>
      <c r="AU538" s="64"/>
      <c r="AV538" s="489">
        <f t="shared" si="2304"/>
        <v>1.3143599187462607E-2</v>
      </c>
      <c r="AW538" s="468"/>
      <c r="AX538" s="500"/>
    </row>
    <row r="539" spans="2:72" ht="15.6" x14ac:dyDescent="0.3">
      <c r="D539" s="428"/>
      <c r="AD539" s="1"/>
      <c r="AE539" s="507"/>
      <c r="AF539" s="546"/>
      <c r="AG539" s="1"/>
      <c r="AH539" s="1"/>
      <c r="AI539" s="485"/>
      <c r="AJ539" s="467"/>
      <c r="AK539" s="543"/>
      <c r="AL539" s="543" t="s">
        <v>151</v>
      </c>
      <c r="AM539" s="543"/>
      <c r="AN539" s="543"/>
      <c r="AO539" s="64"/>
      <c r="AP539" s="469">
        <f>SUM(D144:D174)</f>
        <v>1493931</v>
      </c>
      <c r="AQ539" s="64"/>
      <c r="AR539" s="469">
        <f>SUM(W144:W174)</f>
        <v>30354</v>
      </c>
      <c r="AS539" s="64"/>
      <c r="AT539" s="64"/>
      <c r="AU539" s="64"/>
      <c r="AV539" s="489">
        <f t="shared" si="2304"/>
        <v>2.0318207467413155E-2</v>
      </c>
      <c r="AW539" s="468"/>
      <c r="AX539" s="500"/>
    </row>
    <row r="540" spans="2:72" ht="15.6" x14ac:dyDescent="0.3">
      <c r="D540" s="428"/>
      <c r="AD540" s="1"/>
      <c r="AE540" s="507"/>
      <c r="AF540" s="546"/>
      <c r="AG540" s="1"/>
      <c r="AH540" s="1"/>
      <c r="AI540" s="485"/>
      <c r="AJ540" s="467"/>
      <c r="AK540" s="543"/>
      <c r="AL540" s="543" t="s">
        <v>152</v>
      </c>
      <c r="AM540" s="543"/>
      <c r="AN540" s="543"/>
      <c r="AO540" s="64"/>
      <c r="AP540" s="469">
        <f>SUM(D175:D204)</f>
        <v>1202331</v>
      </c>
      <c r="AQ540" s="64"/>
      <c r="AR540" s="544">
        <f>SUM(W175:W204)</f>
        <v>24042</v>
      </c>
      <c r="AS540" s="64"/>
      <c r="AT540" s="64"/>
      <c r="AU540" s="64"/>
      <c r="AV540" s="489">
        <f t="shared" si="2304"/>
        <v>1.9996157464125936E-2</v>
      </c>
      <c r="AW540" s="468"/>
      <c r="AX540" s="500"/>
    </row>
    <row r="541" spans="2:72" ht="15.6" x14ac:dyDescent="0.3">
      <c r="D541" s="428"/>
      <c r="AD541" s="1"/>
      <c r="AE541" s="507"/>
      <c r="AF541" s="546"/>
      <c r="AG541" s="1"/>
      <c r="AH541" s="1"/>
      <c r="AI541" s="485"/>
      <c r="AJ541" s="467"/>
      <c r="AK541" s="543"/>
      <c r="AL541" s="543" t="s">
        <v>153</v>
      </c>
      <c r="AM541" s="543"/>
      <c r="AN541" s="543"/>
      <c r="AO541" s="64"/>
      <c r="AP541" s="469">
        <f>SUM(D205:D230)</f>
        <v>1470960</v>
      </c>
      <c r="AQ541" s="64"/>
      <c r="AR541" s="469">
        <f>SUM(W205:W235)</f>
        <v>24156</v>
      </c>
      <c r="AS541" s="64"/>
      <c r="AT541" s="64"/>
      <c r="AU541" s="64"/>
      <c r="AV541" s="489">
        <f t="shared" si="2304"/>
        <v>1.6421928536465982E-2</v>
      </c>
      <c r="AW541" s="468"/>
      <c r="AX541" s="500"/>
      <c r="BA541" s="486">
        <f>+AV535-AV541</f>
        <v>4.5521892988085955E-2</v>
      </c>
    </row>
    <row r="542" spans="2:72" ht="15" thickBot="1" x14ac:dyDescent="0.35">
      <c r="B542" s="427"/>
      <c r="D542" s="235"/>
      <c r="AD542" s="1"/>
      <c r="AE542" s="507"/>
      <c r="AF542" s="546"/>
      <c r="AG542" s="1"/>
      <c r="AH542" s="1"/>
      <c r="AI542" s="485"/>
      <c r="AJ542" s="467"/>
      <c r="AK542" s="480"/>
      <c r="AL542" s="480"/>
      <c r="AM542" s="480"/>
      <c r="AN542" s="480"/>
      <c r="AO542" s="481"/>
      <c r="AP542" s="482"/>
      <c r="AQ542" s="481"/>
      <c r="AR542" s="482"/>
      <c r="AS542" s="481"/>
      <c r="AT542" s="481"/>
      <c r="AU542" s="481"/>
      <c r="AV542" s="483"/>
      <c r="AW542" s="468"/>
      <c r="AX542" s="500"/>
      <c r="BA542">
        <f>+BA541/AV535</f>
        <v>0.73488996751747038</v>
      </c>
    </row>
    <row r="543" spans="2:72" ht="15.6" x14ac:dyDescent="0.3">
      <c r="B543" s="427"/>
      <c r="D543" s="235"/>
      <c r="AD543" s="1"/>
      <c r="AE543" s="507"/>
      <c r="AF543" s="546"/>
      <c r="AG543" s="1"/>
      <c r="AH543" s="1"/>
      <c r="AI543" s="485"/>
      <c r="AJ543" s="467"/>
      <c r="AK543" s="586" t="s">
        <v>138</v>
      </c>
      <c r="AL543" s="586"/>
      <c r="AM543" s="586"/>
      <c r="AN543" s="586"/>
      <c r="AO543" s="64"/>
      <c r="AP543" s="469"/>
      <c r="AQ543" s="64"/>
      <c r="AR543" s="469">
        <f>+AR535</f>
        <v>55687</v>
      </c>
      <c r="AS543" s="64"/>
      <c r="AT543" s="64"/>
      <c r="AU543" s="64"/>
      <c r="AV543" s="144"/>
      <c r="AW543" s="468"/>
      <c r="AX543" s="500"/>
    </row>
    <row r="544" spans="2:72" ht="15.6" x14ac:dyDescent="0.3">
      <c r="B544" s="427"/>
      <c r="D544" s="235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10"/>
      <c r="AE544" s="507"/>
      <c r="AF544" s="546"/>
      <c r="AG544" s="33">
        <f>SUM(D113:D143)</f>
        <v>1970617</v>
      </c>
      <c r="AH544" s="1"/>
      <c r="AI544" s="485"/>
      <c r="AJ544" s="467"/>
      <c r="AK544" s="588" t="s">
        <v>153</v>
      </c>
      <c r="AL544" s="588"/>
      <c r="AM544" s="588"/>
      <c r="AN544" s="588"/>
      <c r="AO544" s="64"/>
      <c r="AP544" s="469"/>
      <c r="AQ544" s="64"/>
      <c r="AR544" s="469">
        <f>+AR541</f>
        <v>24156</v>
      </c>
      <c r="AS544" s="64"/>
      <c r="AT544" s="64"/>
      <c r="AU544" s="64"/>
      <c r="AV544" s="144"/>
      <c r="AW544" s="468"/>
      <c r="AX544" s="500"/>
    </row>
    <row r="545" spans="2:87" ht="15.6" x14ac:dyDescent="0.3">
      <c r="B545" s="427"/>
      <c r="D545" s="235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10"/>
      <c r="AE545" s="507"/>
      <c r="AF545" s="546"/>
      <c r="AG545" s="33">
        <f>SUM(W125:W138)</f>
        <v>12117</v>
      </c>
      <c r="AH545" s="1"/>
      <c r="AI545" s="485"/>
      <c r="AJ545" s="467"/>
      <c r="AK545" s="63"/>
      <c r="AL545" s="497" t="s">
        <v>3</v>
      </c>
      <c r="AM545" s="63"/>
      <c r="AN545" s="63"/>
      <c r="AO545" s="64"/>
      <c r="AP545" s="469"/>
      <c r="AQ545" s="64"/>
      <c r="AR545" s="469">
        <f>+AR543-AR544</f>
        <v>31531</v>
      </c>
      <c r="AS545" s="64"/>
      <c r="AT545" s="64"/>
      <c r="AU545" s="64"/>
      <c r="AV545" s="484">
        <f>+AR545/AR543</f>
        <v>0.5662183274372834</v>
      </c>
      <c r="AW545" s="468"/>
      <c r="AX545" s="500"/>
    </row>
    <row r="546" spans="2:87" ht="15" thickBot="1" x14ac:dyDescent="0.35">
      <c r="D546" s="427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10"/>
      <c r="AE546" s="507"/>
      <c r="AF546" s="548"/>
      <c r="AG546" s="33">
        <f>SUM(W113:W143)</f>
        <v>25901</v>
      </c>
      <c r="AH546" s="1"/>
      <c r="AI546" s="485"/>
      <c r="AJ546" s="470"/>
      <c r="AK546" s="471"/>
      <c r="AL546" s="471"/>
      <c r="AM546" s="471"/>
      <c r="AN546" s="471"/>
      <c r="AO546" s="471"/>
      <c r="AP546" s="471"/>
      <c r="AQ546" s="471"/>
      <c r="AR546" s="471"/>
      <c r="AS546" s="471"/>
      <c r="AT546" s="471"/>
      <c r="AU546" s="471"/>
      <c r="AV546" s="471"/>
      <c r="AW546" s="472"/>
      <c r="AX546" s="500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1"/>
      <c r="BT546" s="1"/>
      <c r="BU546" s="1"/>
      <c r="BV546" s="1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</row>
    <row r="547" spans="2:87" x14ac:dyDescent="0.3"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10"/>
      <c r="AE547" s="507"/>
      <c r="AF547" s="507"/>
      <c r="AG547" s="507"/>
      <c r="AH547" s="507"/>
      <c r="AI547" s="507"/>
      <c r="AJ547" s="500"/>
      <c r="AK547" s="500"/>
      <c r="AL547" s="500"/>
      <c r="AM547" s="500"/>
      <c r="AN547" s="500"/>
      <c r="AO547" s="500"/>
      <c r="AP547" s="500"/>
      <c r="AQ547" s="500"/>
      <c r="AR547" s="500"/>
      <c r="AS547" s="500"/>
      <c r="AT547" s="500"/>
      <c r="AU547" s="500"/>
      <c r="AV547" s="500"/>
      <c r="AW547" s="500"/>
      <c r="AX547" s="500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77"/>
      <c r="BX547" s="77"/>
      <c r="BY547" s="77"/>
      <c r="BZ547" s="77"/>
      <c r="CA547" s="109"/>
      <c r="CB547" s="1"/>
      <c r="CC547" s="1"/>
      <c r="CD547" s="1"/>
      <c r="CE547" s="1"/>
      <c r="CF547" s="1"/>
      <c r="CG547" s="1"/>
      <c r="CH547" s="1"/>
      <c r="CI547" s="1"/>
    </row>
    <row r="548" spans="2:87" x14ac:dyDescent="0.3">
      <c r="D548">
        <v>10</v>
      </c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10"/>
      <c r="AE548" s="10"/>
      <c r="AF548" s="10"/>
      <c r="AG548" s="10"/>
      <c r="AH548" s="10"/>
      <c r="AI548" s="10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77"/>
      <c r="BX548" s="77"/>
      <c r="BY548" s="77"/>
      <c r="BZ548" s="77"/>
      <c r="CA548" s="77"/>
      <c r="CB548" s="1"/>
      <c r="CC548" s="1"/>
      <c r="CD548" s="1"/>
      <c r="CE548" s="1"/>
      <c r="CF548" s="1"/>
      <c r="CG548" s="1"/>
      <c r="CH548" s="1"/>
      <c r="CI548" s="1"/>
    </row>
    <row r="549" spans="2:87" x14ac:dyDescent="0.3">
      <c r="D549" s="1">
        <v>77000000</v>
      </c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10"/>
      <c r="AE549" s="10"/>
      <c r="AF549" s="10"/>
      <c r="AG549" s="10"/>
      <c r="AH549" s="10"/>
      <c r="AI549" s="10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77"/>
      <c r="BX549" s="77"/>
      <c r="BY549" s="77"/>
      <c r="BZ549" s="77"/>
      <c r="CA549" s="77"/>
      <c r="CB549" s="1"/>
      <c r="CC549" s="1"/>
      <c r="CD549" s="1"/>
      <c r="CE549" s="1"/>
      <c r="CF549" s="1"/>
      <c r="CG549" s="1"/>
    </row>
    <row r="550" spans="2:87" x14ac:dyDescent="0.3">
      <c r="D550" s="57">
        <f>+D549/D552</f>
        <v>0.23262839879154079</v>
      </c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10"/>
      <c r="AE550" s="10"/>
      <c r="AF550" s="10"/>
      <c r="AG550" s="501"/>
      <c r="AH550" s="10"/>
      <c r="AI550" s="10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77"/>
      <c r="BX550" s="77"/>
      <c r="BY550" s="77"/>
      <c r="BZ550" s="77"/>
      <c r="CA550" s="77"/>
      <c r="CB550" s="1"/>
      <c r="CC550" s="1"/>
      <c r="CD550" s="1"/>
      <c r="CE550" s="1"/>
      <c r="CF550" s="1"/>
      <c r="CG550" s="1"/>
    </row>
    <row r="551" spans="2:87" x14ac:dyDescent="0.3"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10"/>
      <c r="AE551" s="10"/>
      <c r="AF551" s="507"/>
      <c r="AG551" s="526"/>
      <c r="AH551" s="507"/>
      <c r="AI551" s="507"/>
      <c r="AJ551" s="500"/>
      <c r="AK551" s="500"/>
      <c r="AL551" s="500"/>
      <c r="AM551" s="500"/>
      <c r="AN551" s="500"/>
      <c r="AO551" s="500"/>
      <c r="AP551" s="500"/>
      <c r="AQ551" s="500"/>
      <c r="AR551" s="500"/>
      <c r="AS551" s="500"/>
      <c r="AT551" s="500"/>
      <c r="AU551" s="500"/>
      <c r="AV551" s="500"/>
      <c r="AW551" s="500"/>
      <c r="AX551" s="500"/>
      <c r="AY551" s="500"/>
      <c r="AZ551" s="500"/>
      <c r="BA551" s="500"/>
      <c r="BB551" s="500"/>
      <c r="BC551" s="500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77"/>
      <c r="BX551" s="77"/>
      <c r="BY551" s="110"/>
      <c r="BZ551" s="77"/>
      <c r="CA551" s="77"/>
    </row>
    <row r="552" spans="2:87" x14ac:dyDescent="0.3">
      <c r="D552" s="1">
        <v>331000000</v>
      </c>
      <c r="H552">
        <v>0.13400000000000001</v>
      </c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10"/>
      <c r="AE552" s="10"/>
      <c r="AF552" s="507"/>
      <c r="AG552" s="527"/>
      <c r="AH552" s="507"/>
      <c r="AI552" s="507"/>
      <c r="AJ552" s="524"/>
      <c r="AK552" s="524"/>
      <c r="AL552" s="525"/>
      <c r="AM552" s="525"/>
      <c r="AN552" s="525"/>
      <c r="AO552" s="525"/>
      <c r="AP552" s="525"/>
      <c r="AQ552" s="525"/>
      <c r="AR552" s="525"/>
      <c r="AS552" s="525"/>
      <c r="AT552" s="525"/>
      <c r="AU552" s="525"/>
      <c r="AV552" s="525"/>
      <c r="AW552" s="525"/>
      <c r="AX552" s="525"/>
      <c r="AY552" s="525"/>
      <c r="AZ552" s="525"/>
      <c r="BA552" s="525"/>
      <c r="BB552" s="524"/>
      <c r="BC552" s="524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77"/>
      <c r="BX552" s="77"/>
      <c r="BY552" s="77"/>
      <c r="BZ552" s="77"/>
      <c r="CA552" s="77"/>
    </row>
    <row r="553" spans="2:87" x14ac:dyDescent="0.3">
      <c r="D553" s="1">
        <f>+D552*H552</f>
        <v>44354000</v>
      </c>
      <c r="H553" s="1">
        <f>+D553*0.001</f>
        <v>44354</v>
      </c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10"/>
      <c r="AE553" s="10"/>
      <c r="AF553" s="507"/>
      <c r="AG553" s="526"/>
      <c r="AH553" s="507"/>
      <c r="AI553" s="507"/>
      <c r="AJ553" s="524"/>
      <c r="AK553" s="524"/>
      <c r="AL553" s="138"/>
      <c r="AM553" s="138"/>
      <c r="AN553" s="138"/>
      <c r="AO553" s="138"/>
      <c r="AP553" s="138"/>
      <c r="AQ553" s="138"/>
      <c r="AR553" s="138"/>
      <c r="AS553" s="78"/>
      <c r="AT553" s="78"/>
      <c r="AU553" s="78"/>
      <c r="AV553" s="98"/>
      <c r="AW553" s="98"/>
      <c r="AX553" s="98"/>
      <c r="AY553" s="98"/>
      <c r="AZ553" s="524"/>
      <c r="BA553" s="524"/>
      <c r="BB553" s="530"/>
      <c r="BC553" s="524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77"/>
      <c r="BX553" s="77"/>
      <c r="BY553" s="77"/>
      <c r="BZ553" s="77"/>
      <c r="CA553" s="77"/>
    </row>
    <row r="554" spans="2:87" x14ac:dyDescent="0.3">
      <c r="D554" s="425">
        <v>7.1999999999999995E-2</v>
      </c>
      <c r="H554" s="1">
        <f>+AA204*H552</f>
        <v>28746.886000000002</v>
      </c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10"/>
      <c r="AE554" s="10"/>
      <c r="AF554" s="507"/>
      <c r="AG554" s="526">
        <v>44031</v>
      </c>
      <c r="AH554" s="507"/>
      <c r="AI554" s="507"/>
      <c r="AJ554" s="524"/>
      <c r="AK554" s="524"/>
      <c r="AL554" s="138"/>
      <c r="AM554" s="138"/>
      <c r="AN554" s="138"/>
      <c r="AO554" s="138"/>
      <c r="AP554" s="138"/>
      <c r="AQ554" s="138"/>
      <c r="AR554" s="138"/>
      <c r="AS554" s="138"/>
      <c r="AT554" s="98"/>
      <c r="AU554" s="78"/>
      <c r="AV554" s="98"/>
      <c r="AW554" s="98"/>
      <c r="AX554" s="98"/>
      <c r="AY554" s="98"/>
      <c r="AZ554" s="524"/>
      <c r="BA554" s="524"/>
      <c r="BB554" s="530"/>
      <c r="BC554" s="524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77"/>
      <c r="BX554" s="77"/>
      <c r="BY554" s="77"/>
      <c r="BZ554" s="77"/>
      <c r="CA554" s="77"/>
    </row>
    <row r="555" spans="2:87" x14ac:dyDescent="0.3"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10"/>
      <c r="AE555" s="10"/>
      <c r="AF555" s="507"/>
      <c r="AG555" s="526">
        <v>44038</v>
      </c>
      <c r="AH555" s="507"/>
      <c r="AI555" s="507"/>
      <c r="AJ555" s="524"/>
      <c r="AK555" s="524"/>
      <c r="AL555" s="78"/>
      <c r="AM555" s="78"/>
      <c r="AN555" s="139"/>
      <c r="AO555" s="139"/>
      <c r="AP555" s="139"/>
      <c r="AQ555" s="139"/>
      <c r="AR555" s="139"/>
      <c r="AS555" s="78"/>
      <c r="AT555" s="78"/>
      <c r="AU555" s="78"/>
      <c r="AV555" s="98"/>
      <c r="AW555" s="98"/>
      <c r="AX555" s="98"/>
      <c r="AY555" s="98"/>
      <c r="AZ555" s="524"/>
      <c r="BA555" s="524"/>
      <c r="BB555" s="530"/>
      <c r="BC555" s="524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77"/>
      <c r="BX555" s="77"/>
      <c r="BY555" s="77"/>
      <c r="BZ555" s="77"/>
      <c r="CA555" s="77"/>
    </row>
    <row r="556" spans="2:87" x14ac:dyDescent="0.3">
      <c r="D556" s="235">
        <v>4.2000000000000003E-2</v>
      </c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10"/>
      <c r="AE556" s="10"/>
      <c r="AF556" s="507"/>
      <c r="AG556" s="526">
        <v>44045</v>
      </c>
      <c r="AH556" s="507"/>
      <c r="AI556" s="507"/>
      <c r="AJ556" s="524"/>
      <c r="AK556" s="524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98"/>
      <c r="AW556" s="98"/>
      <c r="AX556" s="98"/>
      <c r="AY556" s="98"/>
      <c r="AZ556" s="524"/>
      <c r="BA556" s="524"/>
      <c r="BB556" s="530"/>
      <c r="BC556" s="524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2:87" x14ac:dyDescent="0.3">
      <c r="D557" s="531">
        <f>+D552*D554*D556</f>
        <v>1000944.0000000001</v>
      </c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10"/>
      <c r="AE557" s="10"/>
      <c r="AF557" s="507"/>
      <c r="AG557" s="526">
        <v>44052</v>
      </c>
      <c r="AH557" s="507"/>
      <c r="AI557" s="507"/>
      <c r="AJ557" s="524"/>
      <c r="AK557" s="524"/>
      <c r="AL557" s="78"/>
      <c r="AM557" s="78"/>
      <c r="AN557" s="139"/>
      <c r="AO557" s="139"/>
      <c r="AP557" s="139"/>
      <c r="AQ557" s="139"/>
      <c r="AR557" s="139"/>
      <c r="AS557" s="139"/>
      <c r="AT557" s="139"/>
      <c r="AU557" s="78"/>
      <c r="AV557" s="98"/>
      <c r="AW557" s="98"/>
      <c r="AX557" s="98"/>
      <c r="AY557" s="98"/>
      <c r="AZ557" s="524"/>
      <c r="BA557" s="524"/>
      <c r="BB557" s="530"/>
      <c r="BC557" s="524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2:87" x14ac:dyDescent="0.3"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10"/>
      <c r="AE558" s="10"/>
      <c r="AF558" s="507"/>
      <c r="AG558" s="526"/>
      <c r="AH558" s="507"/>
      <c r="AI558" s="507"/>
      <c r="AJ558" s="524"/>
      <c r="AK558" s="524"/>
      <c r="AL558" s="78"/>
      <c r="AM558" s="78"/>
      <c r="AN558" s="139"/>
      <c r="AO558" s="139"/>
      <c r="AP558" s="139"/>
      <c r="AQ558" s="139"/>
      <c r="AR558" s="139"/>
      <c r="AS558" s="139"/>
      <c r="AT558" s="139"/>
      <c r="AU558" s="78"/>
      <c r="AV558" s="98"/>
      <c r="AW558" s="98"/>
      <c r="AX558" s="98"/>
      <c r="AY558" s="98"/>
      <c r="AZ558" s="524"/>
      <c r="BA558" s="524"/>
      <c r="BB558" s="530"/>
      <c r="BC558" s="524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2:87" x14ac:dyDescent="0.3"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10"/>
      <c r="AE559" s="10"/>
      <c r="AF559" s="507"/>
      <c r="AG559" s="526"/>
      <c r="AH559" s="507"/>
      <c r="AI559" s="507"/>
      <c r="AJ559" s="524"/>
      <c r="AK559" s="524"/>
      <c r="AL559" s="78"/>
      <c r="AM559" s="78"/>
      <c r="AN559" s="139"/>
      <c r="AO559" s="139"/>
      <c r="AP559" s="139"/>
      <c r="AQ559" s="139"/>
      <c r="AR559" s="139"/>
      <c r="AS559" s="139"/>
      <c r="AT559" s="139"/>
      <c r="AU559" s="78"/>
      <c r="AV559" s="98"/>
      <c r="AW559" s="98"/>
      <c r="AX559" s="98"/>
      <c r="AY559" s="98"/>
      <c r="AZ559" s="524"/>
      <c r="BA559" s="524"/>
      <c r="BB559" s="530"/>
      <c r="BC559" s="524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2:87" x14ac:dyDescent="0.3"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10"/>
      <c r="AE560" s="10"/>
      <c r="AF560" s="507"/>
      <c r="AG560" s="528"/>
      <c r="AH560" s="507"/>
      <c r="AI560" s="507"/>
      <c r="AJ560" s="524"/>
      <c r="AK560" s="524"/>
      <c r="AL560" s="78"/>
      <c r="AM560" s="78"/>
      <c r="AN560" s="139"/>
      <c r="AO560" s="139"/>
      <c r="AP560" s="139"/>
      <c r="AQ560" s="139"/>
      <c r="AR560" s="139"/>
      <c r="AS560" s="139"/>
      <c r="AT560" s="139"/>
      <c r="AU560" s="78"/>
      <c r="AV560" s="98"/>
      <c r="AW560" s="98"/>
      <c r="AX560" s="98"/>
      <c r="AY560" s="98"/>
      <c r="AZ560" s="524"/>
      <c r="BA560" s="524"/>
      <c r="BB560" s="530"/>
      <c r="BC560" s="524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2:79" x14ac:dyDescent="0.3"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10"/>
      <c r="AE561" s="10"/>
      <c r="AF561" s="507"/>
      <c r="AG561" s="507"/>
      <c r="AH561" s="507"/>
      <c r="AI561" s="507"/>
      <c r="AJ561" s="524"/>
      <c r="AK561" s="524"/>
      <c r="AL561" s="78"/>
      <c r="AM561" s="78"/>
      <c r="AN561" s="139"/>
      <c r="AO561" s="139"/>
      <c r="AP561" s="139"/>
      <c r="AQ561" s="139"/>
      <c r="AR561" s="139"/>
      <c r="AS561" s="139"/>
      <c r="AT561" s="139"/>
      <c r="AU561" s="78"/>
      <c r="AV561" s="98"/>
      <c r="AW561" s="98"/>
      <c r="AX561" s="98"/>
      <c r="AY561" s="98"/>
      <c r="AZ561" s="524"/>
      <c r="BA561" s="524"/>
      <c r="BB561" s="530"/>
      <c r="BC561" s="524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2:79" x14ac:dyDescent="0.3"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10"/>
      <c r="AE562" s="10"/>
      <c r="AF562" s="507"/>
      <c r="AG562" s="507"/>
      <c r="AH562" s="507"/>
      <c r="AI562" s="507"/>
      <c r="AJ562" s="524"/>
      <c r="AK562" s="524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78"/>
      <c r="AW562" s="78"/>
      <c r="AX562" s="78"/>
      <c r="AY562" s="78"/>
      <c r="AZ562" s="524"/>
      <c r="BA562" s="530"/>
      <c r="BB562" s="530"/>
      <c r="BC562" s="524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2:79" x14ac:dyDescent="0.3">
      <c r="AD563" s="10"/>
      <c r="AE563" s="10"/>
      <c r="AF563" s="507"/>
      <c r="AG563" s="507"/>
      <c r="AH563" s="507"/>
      <c r="AI563" s="507"/>
      <c r="AJ563" s="524"/>
      <c r="AK563" s="524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78"/>
      <c r="AW563" s="78"/>
      <c r="AX563" s="78"/>
      <c r="AY563" s="78"/>
      <c r="AZ563" s="524"/>
      <c r="BA563" s="530"/>
      <c r="BB563" s="530"/>
      <c r="BC563" s="524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2:79" ht="15" thickBot="1" x14ac:dyDescent="0.35">
      <c r="B564" s="500"/>
      <c r="C564" s="500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AD564" s="10"/>
      <c r="AE564" s="10"/>
      <c r="AF564" s="507"/>
      <c r="AG564" s="507"/>
      <c r="AH564" s="507"/>
      <c r="AI564" s="507"/>
      <c r="AJ564" s="524"/>
      <c r="AK564" s="524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78"/>
      <c r="AW564" s="78"/>
      <c r="AX564" s="78"/>
      <c r="AY564" s="78"/>
      <c r="AZ564" s="524"/>
      <c r="BA564" s="530"/>
      <c r="BB564" s="530"/>
      <c r="BC564" s="524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2:79" x14ac:dyDescent="0.3">
      <c r="B565" s="500"/>
      <c r="C565" s="510"/>
      <c r="D565" s="357"/>
      <c r="E565" s="357"/>
      <c r="F565" s="357"/>
      <c r="G565" s="357"/>
      <c r="H565" s="357"/>
      <c r="I565" s="357"/>
      <c r="J565" s="357"/>
      <c r="K565" s="357"/>
      <c r="L565" s="357"/>
      <c r="M565" s="357"/>
      <c r="N565" s="357"/>
      <c r="O565" s="357"/>
      <c r="P565" s="511"/>
      <c r="V565" s="500"/>
      <c r="AD565" s="10"/>
      <c r="AE565" s="10"/>
      <c r="AF565" s="507"/>
      <c r="AG565" s="507"/>
      <c r="AH565" s="507"/>
      <c r="AI565" s="507"/>
      <c r="AJ565" s="524"/>
      <c r="AK565" s="524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78"/>
      <c r="AW565" s="78"/>
      <c r="AX565" s="78"/>
      <c r="AY565" s="78"/>
      <c r="AZ565" s="524"/>
      <c r="BA565" s="530"/>
      <c r="BB565" s="530"/>
      <c r="BC565" s="524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2:79" x14ac:dyDescent="0.3">
      <c r="B566" s="500"/>
      <c r="C566" s="512"/>
      <c r="D566" s="502" t="s">
        <v>149</v>
      </c>
      <c r="E566" s="387"/>
      <c r="F566" s="387"/>
      <c r="G566" s="387"/>
      <c r="H566" s="585" t="s">
        <v>20</v>
      </c>
      <c r="I566" s="585"/>
      <c r="J566" s="585"/>
      <c r="K566" s="387"/>
      <c r="L566" s="387"/>
      <c r="M566" s="387"/>
      <c r="N566" s="387"/>
      <c r="O566" s="387"/>
      <c r="P566" s="513"/>
      <c r="V566" s="500"/>
      <c r="AD566" s="10"/>
      <c r="AE566" s="10"/>
      <c r="AF566" s="507"/>
      <c r="AG566" s="507"/>
      <c r="AH566" s="507"/>
      <c r="AI566" s="507"/>
      <c r="AJ566" s="524"/>
      <c r="AK566" s="524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78"/>
      <c r="AW566" s="78"/>
      <c r="AX566" s="78"/>
      <c r="AY566" s="78"/>
      <c r="AZ566" s="524"/>
      <c r="BA566" s="530"/>
      <c r="BB566" s="530"/>
      <c r="BC566" s="524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2:79" x14ac:dyDescent="0.3">
      <c r="B567" s="500"/>
      <c r="C567" s="512"/>
      <c r="D567" s="514" t="s">
        <v>150</v>
      </c>
      <c r="E567" s="387"/>
      <c r="F567" s="387"/>
      <c r="G567" s="387"/>
      <c r="H567" s="515" t="s">
        <v>147</v>
      </c>
      <c r="I567" s="502"/>
      <c r="J567" s="516" t="s">
        <v>148</v>
      </c>
      <c r="K567" s="502"/>
      <c r="L567" s="502"/>
      <c r="M567" s="502"/>
      <c r="N567" s="502"/>
      <c r="O567" s="517" t="s">
        <v>3</v>
      </c>
      <c r="P567" s="513"/>
      <c r="V567" s="500"/>
      <c r="AD567" s="10"/>
      <c r="AE567" s="10"/>
      <c r="AF567" s="507"/>
      <c r="AG567" s="507"/>
      <c r="AH567" s="507"/>
      <c r="AI567" s="507"/>
      <c r="AJ567" s="524"/>
      <c r="AK567" s="524"/>
      <c r="AL567" s="529"/>
      <c r="AM567" s="529"/>
      <c r="AN567" s="529"/>
      <c r="AO567" s="529"/>
      <c r="AP567" s="529"/>
      <c r="AQ567" s="529"/>
      <c r="AR567" s="529"/>
      <c r="AS567" s="529"/>
      <c r="AT567" s="529"/>
      <c r="AU567" s="529"/>
      <c r="AV567" s="524"/>
      <c r="AW567" s="524"/>
      <c r="AX567" s="524"/>
      <c r="AY567" s="524"/>
      <c r="AZ567" s="524"/>
      <c r="BA567" s="530"/>
      <c r="BB567" s="530"/>
      <c r="BC567" s="524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2:79" x14ac:dyDescent="0.3">
      <c r="B568" s="500"/>
      <c r="C568" s="512"/>
      <c r="D568" s="503" t="s">
        <v>146</v>
      </c>
      <c r="E568" s="15"/>
      <c r="F568" s="15"/>
      <c r="G568" s="15"/>
      <c r="H568" s="518">
        <f>SUM(D133:D139)</f>
        <v>471981</v>
      </c>
      <c r="I568" s="15"/>
      <c r="J568" s="16">
        <f>+H568/7</f>
        <v>67425.857142857145</v>
      </c>
      <c r="K568" s="15"/>
      <c r="L568" s="15"/>
      <c r="M568" s="15"/>
      <c r="N568" s="15"/>
      <c r="O568" s="15"/>
      <c r="P568" s="513"/>
      <c r="V568" s="500"/>
      <c r="AD568" s="10"/>
      <c r="AE568" s="10"/>
      <c r="AF568" s="507"/>
      <c r="AG568" s="507"/>
      <c r="AH568" s="507"/>
      <c r="AI568" s="507"/>
      <c r="AJ568" s="524"/>
      <c r="AK568" s="524"/>
      <c r="AL568" s="529"/>
      <c r="AM568" s="529"/>
      <c r="AN568" s="529"/>
      <c r="AO568" s="529"/>
      <c r="AP568" s="529"/>
      <c r="AQ568" s="529"/>
      <c r="AR568" s="529"/>
      <c r="AS568" s="529"/>
      <c r="AT568" s="529"/>
      <c r="AU568" s="529"/>
      <c r="AV568" s="529"/>
      <c r="AW568" s="529"/>
      <c r="AX568" s="529"/>
      <c r="AY568" s="529"/>
      <c r="AZ568" s="524"/>
      <c r="BA568" s="524"/>
      <c r="BB568" s="530"/>
      <c r="BC568" s="524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2:79" x14ac:dyDescent="0.3">
      <c r="B569" s="500"/>
      <c r="C569" s="512"/>
      <c r="D569" s="503" t="s">
        <v>145</v>
      </c>
      <c r="E569" s="15"/>
      <c r="F569" s="15"/>
      <c r="G569" s="15"/>
      <c r="H569" s="16">
        <f>SUM(D140:D146)</f>
        <v>427527</v>
      </c>
      <c r="I569" s="15"/>
      <c r="J569" s="16">
        <f>+H569/7</f>
        <v>61075.285714285717</v>
      </c>
      <c r="K569" s="15"/>
      <c r="L569" s="15"/>
      <c r="M569" s="15"/>
      <c r="N569" s="15"/>
      <c r="O569" s="15"/>
      <c r="P569" s="513"/>
      <c r="V569" s="500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78"/>
      <c r="AU569" s="98"/>
      <c r="AV569" s="140"/>
      <c r="AW569" s="140"/>
      <c r="AX569" s="140"/>
      <c r="AY569" s="140"/>
      <c r="AZ569" s="98"/>
      <c r="BA569" s="98"/>
      <c r="BB569" s="98"/>
      <c r="BC569" s="98"/>
    </row>
    <row r="570" spans="2:79" x14ac:dyDescent="0.3">
      <c r="B570" s="506"/>
      <c r="C570" s="512"/>
      <c r="D570" s="503" t="s">
        <v>144</v>
      </c>
      <c r="E570" s="15"/>
      <c r="F570" s="15"/>
      <c r="G570" s="15"/>
      <c r="H570" s="16">
        <f>SUM(D147:D153)</f>
        <v>383516</v>
      </c>
      <c r="I570" s="15"/>
      <c r="J570" s="16">
        <f>+H570/7</f>
        <v>54788</v>
      </c>
      <c r="K570" s="15"/>
      <c r="L570" s="15"/>
      <c r="M570" s="15"/>
      <c r="N570" s="15"/>
      <c r="O570" s="518">
        <f>+H568-H570</f>
        <v>88465</v>
      </c>
      <c r="P570" s="513"/>
      <c r="V570" s="500"/>
      <c r="AA570">
        <f>+O570/7</f>
        <v>12637.857142857143</v>
      </c>
      <c r="AJ570" s="98"/>
      <c r="AK570" s="98"/>
      <c r="AL570" s="98"/>
      <c r="AM570" s="98"/>
      <c r="AN570" s="98"/>
      <c r="AO570" s="98"/>
      <c r="AP570" s="98"/>
      <c r="AQ570" s="98"/>
      <c r="AR570" s="98"/>
      <c r="AS570" s="98"/>
      <c r="AT570" s="98"/>
      <c r="AU570" s="98"/>
      <c r="AV570" s="78"/>
      <c r="AW570" s="78"/>
      <c r="AX570" s="78"/>
      <c r="AY570" s="78"/>
      <c r="AZ570" s="98"/>
      <c r="BA570" s="141"/>
      <c r="BB570" s="98"/>
      <c r="BC570" s="98"/>
    </row>
    <row r="571" spans="2:79" x14ac:dyDescent="0.3">
      <c r="B571" s="507"/>
      <c r="C571" s="512"/>
      <c r="D571" s="5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60">
        <f>+O570/H568</f>
        <v>0.18743339244588236</v>
      </c>
      <c r="P571" s="513"/>
      <c r="V571" s="500"/>
      <c r="X571" s="61"/>
      <c r="Y571" s="61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78">
        <v>480454</v>
      </c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</row>
    <row r="572" spans="2:79" ht="15" thickBot="1" x14ac:dyDescent="0.35">
      <c r="B572" s="507"/>
      <c r="C572" s="520"/>
      <c r="D572" s="521"/>
      <c r="E572" s="521"/>
      <c r="F572" s="521"/>
      <c r="G572" s="521"/>
      <c r="H572" s="521"/>
      <c r="I572" s="521"/>
      <c r="J572" s="522"/>
      <c r="K572" s="521"/>
      <c r="L572" s="521"/>
      <c r="M572" s="521"/>
      <c r="N572" s="521"/>
      <c r="O572" s="521"/>
      <c r="P572" s="523"/>
      <c r="V572" s="500"/>
      <c r="X572" s="61"/>
      <c r="Y572" s="61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140">
        <f>+N201</f>
        <v>290088</v>
      </c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</row>
    <row r="573" spans="2:79" x14ac:dyDescent="0.3">
      <c r="B573" s="507"/>
      <c r="C573" s="500"/>
      <c r="D573" s="508"/>
      <c r="E573" s="500"/>
      <c r="F573" s="500"/>
      <c r="G573" s="500"/>
      <c r="H573" s="509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X573" s="61"/>
      <c r="Y573" s="61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140">
        <f>+AP571-AP572</f>
        <v>190366</v>
      </c>
      <c r="AQ573" s="98"/>
      <c r="AR573" s="98"/>
    </row>
    <row r="574" spans="2:79" x14ac:dyDescent="0.3">
      <c r="B574" s="1"/>
      <c r="D574" s="55"/>
      <c r="X574" s="61"/>
      <c r="Y574" s="61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84">
        <f>+AP573/AP571</f>
        <v>0.3962210742339537</v>
      </c>
      <c r="AQ574" s="98"/>
      <c r="AR574" s="98"/>
    </row>
    <row r="575" spans="2:79" x14ac:dyDescent="0.3">
      <c r="B575" s="55"/>
      <c r="D575" s="55"/>
      <c r="J575" s="56">
        <f>+J568-J570</f>
        <v>12637.857142857145</v>
      </c>
      <c r="X575" s="61"/>
      <c r="Y575" s="61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98"/>
      <c r="AQ575" s="98"/>
      <c r="AR575" s="98"/>
    </row>
    <row r="576" spans="2:79" x14ac:dyDescent="0.3">
      <c r="B576" s="57"/>
      <c r="D576" s="55"/>
      <c r="X576" s="61"/>
      <c r="Y576" s="61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</row>
    <row r="577" spans="2:61" x14ac:dyDescent="0.3">
      <c r="B577" s="1"/>
      <c r="D577" s="55"/>
      <c r="X577" s="61"/>
      <c r="Y577" s="61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98"/>
      <c r="AQ577" s="98"/>
      <c r="AR577" s="98"/>
    </row>
    <row r="578" spans="2:61" x14ac:dyDescent="0.3">
      <c r="B578" s="1"/>
      <c r="D578" s="55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</row>
    <row r="579" spans="2:61" x14ac:dyDescent="0.3">
      <c r="B579" s="1"/>
      <c r="D579" s="55"/>
      <c r="AT579" s="500"/>
      <c r="AU579" s="500"/>
      <c r="AV579" s="500"/>
      <c r="AW579" s="500"/>
      <c r="AX579" s="500"/>
      <c r="AY579" s="500"/>
      <c r="AZ579" s="500"/>
      <c r="BA579" s="500"/>
      <c r="BB579" s="500"/>
      <c r="BC579" s="500"/>
      <c r="BD579" s="500"/>
      <c r="BE579" s="500"/>
      <c r="BF579" s="500"/>
      <c r="BG579" s="500"/>
      <c r="BH579" s="500"/>
      <c r="BI579" s="500"/>
    </row>
    <row r="580" spans="2:61" ht="15.6" x14ac:dyDescent="0.3">
      <c r="B580" s="1"/>
      <c r="D580" s="55"/>
      <c r="AT580" s="500"/>
      <c r="AU580" s="533"/>
      <c r="AV580" s="534"/>
      <c r="AW580" s="534"/>
      <c r="AX580" s="534"/>
      <c r="AY580" s="534"/>
      <c r="AZ580" s="534"/>
      <c r="BA580" s="534"/>
      <c r="BB580" s="534"/>
      <c r="BC580" s="534"/>
      <c r="BD580" s="534"/>
      <c r="BE580" s="534" t="s">
        <v>156</v>
      </c>
      <c r="BF580" s="534"/>
      <c r="BG580" s="534" t="s">
        <v>2</v>
      </c>
      <c r="BH580" s="533"/>
      <c r="BI580" s="500"/>
    </row>
    <row r="581" spans="2:61" ht="16.2" thickBot="1" x14ac:dyDescent="0.35">
      <c r="B581" s="57" t="e">
        <f>+B580/B579</f>
        <v>#DIV/0!</v>
      </c>
      <c r="D581" s="55"/>
      <c r="AT581" s="500"/>
      <c r="AU581" s="533"/>
      <c r="AV581" s="581" t="s">
        <v>155</v>
      </c>
      <c r="AW581" s="581"/>
      <c r="AX581" s="581"/>
      <c r="AY581" s="534"/>
      <c r="AZ581" s="534"/>
      <c r="BA581" s="535" t="s">
        <v>20</v>
      </c>
      <c r="BB581" s="534"/>
      <c r="BC581" s="535" t="s">
        <v>3</v>
      </c>
      <c r="BD581" s="534"/>
      <c r="BE581" s="535" t="s">
        <v>65</v>
      </c>
      <c r="BF581" s="534"/>
      <c r="BG581" s="535" t="s">
        <v>65</v>
      </c>
      <c r="BH581" s="533"/>
      <c r="BI581" s="500"/>
    </row>
    <row r="582" spans="2:61" ht="21" x14ac:dyDescent="0.4">
      <c r="B582" s="1"/>
      <c r="D582" s="55"/>
      <c r="AT582" s="500"/>
      <c r="AU582" s="533"/>
      <c r="AV582" s="536" t="s">
        <v>143</v>
      </c>
      <c r="AW582" s="533"/>
      <c r="AX582" s="537"/>
      <c r="AY582" s="533"/>
      <c r="AZ582" s="533"/>
      <c r="BA582" s="538">
        <f>+N143</f>
        <v>1970617</v>
      </c>
      <c r="BB582" s="537"/>
      <c r="BC582" s="537"/>
      <c r="BD582" s="537"/>
      <c r="BE582" s="537"/>
      <c r="BF582" s="537"/>
      <c r="BG582" s="537"/>
      <c r="BH582" s="533"/>
      <c r="BI582" s="500"/>
    </row>
    <row r="583" spans="2:61" ht="21" x14ac:dyDescent="0.4">
      <c r="B583" s="1"/>
      <c r="D583" s="55"/>
      <c r="AT583" s="500"/>
      <c r="AU583" s="533"/>
      <c r="AV583" s="536" t="s">
        <v>151</v>
      </c>
      <c r="AW583" s="533"/>
      <c r="AX583" s="537"/>
      <c r="AY583" s="533"/>
      <c r="AZ583" s="533"/>
      <c r="BA583" s="538">
        <f>+N174</f>
        <v>1493931</v>
      </c>
      <c r="BB583" s="537"/>
      <c r="BC583" s="538">
        <f>+BA583-BA582</f>
        <v>-476686</v>
      </c>
      <c r="BD583" s="537"/>
      <c r="BE583" s="539">
        <f>+BC583/BA582</f>
        <v>-0.24189682723735764</v>
      </c>
      <c r="BF583" s="537"/>
      <c r="BG583" s="537"/>
      <c r="BH583" s="533"/>
      <c r="BI583" s="500"/>
    </row>
    <row r="584" spans="2:61" ht="21" x14ac:dyDescent="0.4">
      <c r="B584" s="1">
        <f>+B580*50</f>
        <v>0</v>
      </c>
      <c r="D584" s="55"/>
      <c r="AT584" s="500"/>
      <c r="AU584" s="533"/>
      <c r="AV584" s="536" t="s">
        <v>152</v>
      </c>
      <c r="AW584" s="533"/>
      <c r="AX584" s="537"/>
      <c r="AY584" s="533"/>
      <c r="AZ584" s="533"/>
      <c r="BA584" s="538">
        <f>+N204</f>
        <v>1202331</v>
      </c>
      <c r="BB584" s="537"/>
      <c r="BC584" s="538">
        <f>+BA584-BA583</f>
        <v>-291600</v>
      </c>
      <c r="BD584" s="537"/>
      <c r="BE584" s="539">
        <f>+BC584/BA583</f>
        <v>-0.19518973767864781</v>
      </c>
      <c r="BF584" s="537"/>
      <c r="BG584" s="537"/>
      <c r="BH584" s="533"/>
      <c r="BI584" s="500"/>
    </row>
    <row r="585" spans="2:61" ht="21" x14ac:dyDescent="0.4">
      <c r="B585" s="1"/>
      <c r="D585" s="55"/>
      <c r="AT585" s="500"/>
      <c r="AU585" s="533"/>
      <c r="AV585" s="536" t="s">
        <v>153</v>
      </c>
      <c r="AW585" s="533"/>
      <c r="AX585" s="537"/>
      <c r="AY585" s="533"/>
      <c r="AZ585" s="540" t="s">
        <v>26</v>
      </c>
      <c r="BA585" s="538">
        <f>+N218</f>
        <v>371489</v>
      </c>
      <c r="BB585" s="537"/>
      <c r="BC585" s="538">
        <f>+BA585-BA584</f>
        <v>-830842</v>
      </c>
      <c r="BD585" s="537"/>
      <c r="BE585" s="539">
        <f>+BC585/BA584</f>
        <v>-0.69102601529861574</v>
      </c>
      <c r="BF585" s="537"/>
      <c r="BG585" s="539">
        <f>+(BA585-BA582)/BA582</f>
        <v>-0.81148594577231392</v>
      </c>
      <c r="BH585" s="533"/>
      <c r="BI585" s="500"/>
    </row>
    <row r="586" spans="2:61" x14ac:dyDescent="0.3">
      <c r="B586" s="1"/>
      <c r="D586" s="55"/>
      <c r="AT586" s="500"/>
      <c r="AU586" s="533"/>
      <c r="AV586" s="533"/>
      <c r="AW586" s="533"/>
      <c r="AX586" s="533"/>
      <c r="AY586" s="533"/>
      <c r="AZ586" s="533"/>
      <c r="BA586" s="533"/>
      <c r="BB586" s="533"/>
      <c r="BC586" s="533"/>
      <c r="BD586" s="533"/>
      <c r="BE586" s="533"/>
      <c r="BF586" s="533"/>
      <c r="BG586" s="533"/>
      <c r="BH586" s="533"/>
      <c r="BI586" s="500"/>
    </row>
    <row r="587" spans="2:61" ht="16.2" x14ac:dyDescent="0.3">
      <c r="B587" s="1"/>
      <c r="D587" s="55"/>
      <c r="AT587" s="500"/>
      <c r="AU587" s="533"/>
      <c r="AV587" s="533"/>
      <c r="AW587" s="533"/>
      <c r="AX587" s="541" t="s">
        <v>26</v>
      </c>
      <c r="AY587" s="533"/>
      <c r="AZ587" s="542" t="s">
        <v>154</v>
      </c>
      <c r="BA587" s="533"/>
      <c r="BB587" s="533"/>
      <c r="BC587" s="533"/>
      <c r="BD587" s="533"/>
      <c r="BE587" s="533"/>
      <c r="BF587" s="533"/>
      <c r="BG587" s="533"/>
      <c r="BH587" s="533"/>
      <c r="BI587" s="500"/>
    </row>
    <row r="588" spans="2:61" x14ac:dyDescent="0.3">
      <c r="B588" s="1"/>
      <c r="D588" s="55"/>
      <c r="AT588" s="500"/>
      <c r="AU588" s="533"/>
      <c r="AV588" s="533"/>
      <c r="AW588" s="533"/>
      <c r="AX588" s="533"/>
      <c r="AY588" s="533"/>
      <c r="AZ588" s="533"/>
      <c r="BA588" s="533"/>
      <c r="BB588" s="533"/>
      <c r="BC588" s="533"/>
      <c r="BD588" s="533"/>
      <c r="BE588" s="533"/>
      <c r="BF588" s="533"/>
      <c r="BG588" s="533"/>
      <c r="BH588" s="533"/>
      <c r="BI588" s="500"/>
    </row>
    <row r="589" spans="2:61" x14ac:dyDescent="0.3">
      <c r="B589" s="1"/>
      <c r="D589" s="55"/>
      <c r="AT589" s="532"/>
      <c r="AU589" s="532"/>
      <c r="AV589" s="532"/>
      <c r="AW589" s="532"/>
      <c r="AX589" s="532"/>
      <c r="AY589" s="532"/>
      <c r="AZ589" s="532"/>
      <c r="BA589" s="532"/>
      <c r="BB589" s="532"/>
      <c r="BC589" s="532"/>
      <c r="BD589" s="532"/>
      <c r="BE589" s="532"/>
      <c r="BF589" s="532"/>
      <c r="BG589" s="532"/>
      <c r="BH589" s="532"/>
      <c r="BI589" s="532"/>
    </row>
    <row r="590" spans="2:61" x14ac:dyDescent="0.3">
      <c r="B590" s="1"/>
      <c r="D590" s="55"/>
    </row>
    <row r="591" spans="2:61" x14ac:dyDescent="0.3">
      <c r="B591" s="1"/>
      <c r="D591" s="55"/>
      <c r="AS591" s="61"/>
      <c r="AT591" s="500"/>
      <c r="AU591" s="500"/>
      <c r="AV591" s="500"/>
      <c r="AW591" s="500"/>
      <c r="AX591" s="500"/>
      <c r="AY591" s="500"/>
      <c r="AZ591" s="500"/>
      <c r="BA591" s="500"/>
      <c r="BB591" s="500"/>
      <c r="BC591" s="500"/>
      <c r="BD591" s="500"/>
      <c r="BE591" s="500"/>
      <c r="BF591" s="500"/>
      <c r="BG591" s="500"/>
      <c r="BH591" s="500"/>
      <c r="BI591" s="500"/>
    </row>
    <row r="592" spans="2:61" x14ac:dyDescent="0.3">
      <c r="B592" s="1"/>
      <c r="D592" s="55"/>
      <c r="AT592" s="500"/>
      <c r="AU592" s="550"/>
      <c r="AV592" s="550"/>
      <c r="AW592" s="550"/>
      <c r="AX592" s="550"/>
      <c r="AY592" s="550"/>
      <c r="AZ592" s="550"/>
      <c r="BA592" s="550"/>
      <c r="BB592" s="550"/>
      <c r="BC592" s="550"/>
      <c r="BD592" s="550"/>
      <c r="BE592" s="550"/>
      <c r="BF592" s="550"/>
      <c r="BG592" s="550"/>
      <c r="BH592" s="550"/>
      <c r="BI592" s="500"/>
    </row>
    <row r="593" spans="2:68" ht="15" thickBot="1" x14ac:dyDescent="0.35">
      <c r="B593" s="1"/>
      <c r="D593" s="55"/>
      <c r="AT593" s="500"/>
      <c r="AU593" s="550"/>
      <c r="AV593" s="589" t="s">
        <v>160</v>
      </c>
      <c r="AW593" s="589"/>
      <c r="AX593" s="589"/>
      <c r="AY593" s="551"/>
      <c r="AZ593" s="551"/>
      <c r="BA593" s="552" t="s">
        <v>23</v>
      </c>
      <c r="BB593" s="553"/>
      <c r="BC593" s="552" t="s">
        <v>3</v>
      </c>
      <c r="BD593" s="553"/>
      <c r="BE593" s="552" t="s">
        <v>20</v>
      </c>
      <c r="BF593" s="553"/>
      <c r="BG593" s="552" t="s">
        <v>21</v>
      </c>
      <c r="BH593" s="550"/>
      <c r="BI593" s="500"/>
    </row>
    <row r="594" spans="2:68" x14ac:dyDescent="0.3">
      <c r="B594" s="1"/>
      <c r="AT594" s="500"/>
      <c r="AU594" s="550"/>
      <c r="AV594" s="551" t="s">
        <v>143</v>
      </c>
      <c r="AW594" s="551"/>
      <c r="AX594" s="551"/>
      <c r="AY594" s="551"/>
      <c r="AZ594" s="551"/>
      <c r="BA594" s="554">
        <f>+BK275</f>
        <v>13351981</v>
      </c>
      <c r="BB594" s="551"/>
      <c r="BC594" s="551"/>
      <c r="BD594" s="551"/>
      <c r="BE594" s="555">
        <f>+N143</f>
        <v>1970617</v>
      </c>
      <c r="BF594" s="551"/>
      <c r="BG594" s="556">
        <f>+BE594/BA594</f>
        <v>0.14758985951223269</v>
      </c>
      <c r="BH594" s="550"/>
      <c r="BI594" s="500"/>
    </row>
    <row r="595" spans="2:68" x14ac:dyDescent="0.3">
      <c r="B595" s="1"/>
      <c r="AT595" s="500"/>
      <c r="AU595" s="550"/>
      <c r="AV595" s="551"/>
      <c r="AW595" s="551"/>
      <c r="AX595" s="551"/>
      <c r="AY595" s="551"/>
      <c r="AZ595" s="551"/>
      <c r="BA595" s="554"/>
      <c r="BB595" s="551"/>
      <c r="BC595" s="551"/>
      <c r="BD595" s="551"/>
      <c r="BE595" s="551"/>
      <c r="BF595" s="551"/>
      <c r="BG595" s="556"/>
      <c r="BH595" s="550"/>
      <c r="BI595" s="500"/>
    </row>
    <row r="596" spans="2:68" x14ac:dyDescent="0.3">
      <c r="B596" s="1"/>
      <c r="AT596" s="500"/>
      <c r="AU596" s="550"/>
      <c r="AV596" s="551" t="s">
        <v>159</v>
      </c>
      <c r="AW596" s="551"/>
      <c r="AX596" s="551"/>
      <c r="AY596" s="551"/>
      <c r="AZ596" s="551"/>
      <c r="BA596" s="554">
        <v>52440389</v>
      </c>
      <c r="BB596" s="551"/>
      <c r="BC596" s="556">
        <f>+(BA596-BA594)/BA594</f>
        <v>2.9275362210296736</v>
      </c>
      <c r="BD596" s="551"/>
      <c r="BE596" s="555">
        <f>+N273</f>
        <v>1462688</v>
      </c>
      <c r="BF596" s="551"/>
      <c r="BG596" s="556">
        <f>+BE596/BA596</f>
        <v>2.7892394162064665E-2</v>
      </c>
      <c r="BH596" s="550"/>
      <c r="BI596" s="500"/>
    </row>
    <row r="597" spans="2:68" x14ac:dyDescent="0.3">
      <c r="B597" s="1"/>
      <c r="AT597" s="500"/>
      <c r="AU597" s="550"/>
      <c r="AV597" s="551"/>
      <c r="AW597" s="551"/>
      <c r="AX597" s="551"/>
      <c r="AY597" s="551"/>
      <c r="AZ597" s="551"/>
      <c r="BA597" s="554"/>
      <c r="BB597" s="551"/>
      <c r="BC597" s="551"/>
      <c r="BD597" s="551"/>
      <c r="BE597" s="551"/>
      <c r="BF597" s="551"/>
      <c r="BG597" s="551"/>
      <c r="BH597" s="550"/>
      <c r="BI597" s="500"/>
    </row>
    <row r="598" spans="2:68" x14ac:dyDescent="0.3">
      <c r="B598" s="1"/>
      <c r="AT598" s="500"/>
      <c r="AU598" s="550"/>
      <c r="AV598" s="578" t="s">
        <v>105</v>
      </c>
      <c r="AW598" s="578"/>
      <c r="AX598" s="578"/>
      <c r="AY598" s="578"/>
      <c r="AZ598" s="551"/>
      <c r="BA598" s="555">
        <f>+BA596-BA594</f>
        <v>39088408</v>
      </c>
      <c r="BB598" s="551"/>
      <c r="BC598" s="551"/>
      <c r="BD598" s="551"/>
      <c r="BE598" s="555">
        <f>+BE596-BE594</f>
        <v>-507929</v>
      </c>
      <c r="BF598" s="551"/>
      <c r="BG598" s="558"/>
      <c r="BH598" s="550"/>
      <c r="BI598" s="500"/>
    </row>
    <row r="599" spans="2:68" x14ac:dyDescent="0.3">
      <c r="B599" s="1"/>
      <c r="AT599" s="500"/>
      <c r="AU599" s="550"/>
      <c r="AV599" s="550"/>
      <c r="AW599" s="550"/>
      <c r="AX599" s="550"/>
      <c r="AY599" s="550"/>
      <c r="AZ599" s="550"/>
      <c r="BA599" s="550"/>
      <c r="BB599" s="550"/>
      <c r="BC599" s="550"/>
      <c r="BD599" s="550"/>
      <c r="BE599" s="550"/>
      <c r="BF599" s="550"/>
      <c r="BG599" s="550"/>
      <c r="BH599" s="550"/>
      <c r="BI599" s="500"/>
    </row>
    <row r="600" spans="2:68" x14ac:dyDescent="0.3">
      <c r="B600" s="1"/>
      <c r="AT600" s="500"/>
      <c r="AU600" s="500"/>
      <c r="AV600" s="500"/>
      <c r="AW600" s="500"/>
      <c r="AX600" s="500"/>
      <c r="AY600" s="500"/>
      <c r="AZ600" s="500"/>
      <c r="BA600" s="500"/>
      <c r="BB600" s="500"/>
      <c r="BC600" s="500"/>
      <c r="BD600" s="500"/>
      <c r="BE600" s="557"/>
      <c r="BF600" s="500"/>
      <c r="BG600" s="507"/>
      <c r="BH600" s="500"/>
      <c r="BI600" s="500"/>
    </row>
    <row r="601" spans="2:68" x14ac:dyDescent="0.3">
      <c r="B601" s="1"/>
    </row>
    <row r="602" spans="2:68" x14ac:dyDescent="0.3">
      <c r="B602" s="1"/>
    </row>
    <row r="603" spans="2:68" x14ac:dyDescent="0.3">
      <c r="B603" s="1"/>
      <c r="H603" s="1">
        <v>4000000</v>
      </c>
      <c r="AR603" s="500"/>
      <c r="AS603" s="500"/>
      <c r="AT603" s="500"/>
      <c r="AU603" s="500"/>
      <c r="AV603" s="500"/>
      <c r="AW603" s="500"/>
      <c r="AX603" s="500"/>
      <c r="AY603" s="500"/>
      <c r="AZ603" s="500"/>
      <c r="BA603" s="500"/>
      <c r="BB603" s="500"/>
      <c r="BC603" s="500"/>
      <c r="BD603" s="500"/>
      <c r="BE603" s="500"/>
      <c r="BF603" s="500"/>
      <c r="BG603" s="500"/>
      <c r="BH603" s="500"/>
      <c r="BI603" s="500"/>
    </row>
    <row r="604" spans="2:68" ht="15.6" x14ac:dyDescent="0.3">
      <c r="B604" s="1"/>
      <c r="H604" s="1"/>
      <c r="AR604" s="500"/>
      <c r="AS604" s="584" t="s">
        <v>171</v>
      </c>
      <c r="AT604" s="584"/>
      <c r="AU604" s="584"/>
      <c r="AV604" s="584"/>
      <c r="AW604" s="584"/>
      <c r="AX604" s="584"/>
      <c r="AY604" s="584"/>
      <c r="AZ604" s="584"/>
      <c r="BA604" s="584"/>
      <c r="BB604" s="584"/>
      <c r="BC604" s="584"/>
      <c r="BD604" s="584"/>
      <c r="BE604" s="584"/>
      <c r="BF604" s="584"/>
      <c r="BG604" s="584"/>
      <c r="BH604" s="584"/>
      <c r="BI604" s="500"/>
    </row>
    <row r="605" spans="2:68" x14ac:dyDescent="0.3">
      <c r="H605" s="1">
        <f>+H603/7</f>
        <v>571428.57142857148</v>
      </c>
      <c r="AR605" s="500"/>
      <c r="AS605" s="533"/>
      <c r="AT605" s="561"/>
      <c r="AU605" s="561"/>
      <c r="AV605" s="561"/>
      <c r="AW605" s="561"/>
      <c r="AX605" s="561"/>
      <c r="AY605" s="561"/>
      <c r="AZ605" s="561"/>
      <c r="BA605" s="561"/>
      <c r="BB605" s="561"/>
      <c r="BC605" s="561"/>
      <c r="BD605" s="561"/>
      <c r="BE605" s="579" t="s">
        <v>167</v>
      </c>
      <c r="BF605" s="561"/>
      <c r="BG605" s="626" t="s">
        <v>168</v>
      </c>
      <c r="BH605" s="533"/>
      <c r="BI605" s="500"/>
    </row>
    <row r="606" spans="2:68" x14ac:dyDescent="0.3">
      <c r="AR606" s="500"/>
      <c r="AS606" s="533"/>
      <c r="AT606" s="587" t="s">
        <v>19</v>
      </c>
      <c r="AU606" s="587"/>
      <c r="AV606" s="587"/>
      <c r="AW606" s="587"/>
      <c r="AX606" s="587"/>
      <c r="AY606" s="587"/>
      <c r="AZ606" s="561"/>
      <c r="BA606" s="560" t="s">
        <v>20</v>
      </c>
      <c r="BB606" s="561"/>
      <c r="BC606" s="560" t="s">
        <v>166</v>
      </c>
      <c r="BD606" s="561"/>
      <c r="BE606" s="580"/>
      <c r="BF606" s="561"/>
      <c r="BG606" s="622"/>
      <c r="BH606" s="533"/>
      <c r="BI606" s="500"/>
    </row>
    <row r="607" spans="2:68" x14ac:dyDescent="0.3">
      <c r="H607" t="s">
        <v>169</v>
      </c>
      <c r="J607">
        <v>28</v>
      </c>
      <c r="N607" s="1">
        <f>+H605*J607</f>
        <v>16000000.000000002</v>
      </c>
      <c r="AR607" s="500"/>
      <c r="AS607" s="533"/>
      <c r="AT607" s="624" t="s">
        <v>162</v>
      </c>
      <c r="AU607" s="624"/>
      <c r="AV607" s="624"/>
      <c r="AW607" s="624"/>
      <c r="AX607" s="624"/>
      <c r="AY607" s="561"/>
      <c r="AZ607" s="561"/>
      <c r="BA607" s="562">
        <f>+H174</f>
        <v>6826001</v>
      </c>
      <c r="BB607" s="561"/>
      <c r="BC607" s="561">
        <v>10</v>
      </c>
      <c r="BD607" s="561"/>
      <c r="BE607" s="563">
        <f>+BA607*BC607</f>
        <v>68260010</v>
      </c>
      <c r="BF607" s="561"/>
      <c r="BG607" s="561"/>
      <c r="BH607" s="533"/>
      <c r="BI607" s="500"/>
      <c r="BP607" s="56">
        <f>+BE607-BA607</f>
        <v>61434009</v>
      </c>
    </row>
    <row r="608" spans="2:68" x14ac:dyDescent="0.3">
      <c r="D608" s="56">
        <f>+N607+N608</f>
        <v>33714285.714285716</v>
      </c>
      <c r="H608" t="s">
        <v>170</v>
      </c>
      <c r="J608">
        <v>31</v>
      </c>
      <c r="N608" s="1">
        <f>+J608*H$605</f>
        <v>17714285.714285716</v>
      </c>
      <c r="AR608" s="500"/>
      <c r="AS608" s="533"/>
      <c r="AT608" s="624" t="s">
        <v>172</v>
      </c>
      <c r="AU608" s="624"/>
      <c r="AV608" s="624"/>
      <c r="AW608" s="624"/>
      <c r="AX608" s="624"/>
      <c r="AY608" s="561"/>
      <c r="AZ608" s="561"/>
      <c r="BA608" s="562">
        <f>+BA620-BA607</f>
        <v>3109228</v>
      </c>
      <c r="BB608" s="561"/>
      <c r="BC608" s="561">
        <v>5</v>
      </c>
      <c r="BD608" s="561"/>
      <c r="BE608" s="563">
        <f>+BA608*BC608</f>
        <v>15546140</v>
      </c>
      <c r="BF608" s="561"/>
      <c r="BG608" s="561"/>
      <c r="BH608" s="533"/>
      <c r="BI608" s="500"/>
      <c r="BP608" s="56">
        <f>+BE608-BA608</f>
        <v>12436912</v>
      </c>
    </row>
    <row r="609" spans="4:75" x14ac:dyDescent="0.3">
      <c r="D609" s="56">
        <f>+D608+N609</f>
        <v>50857142.857142866</v>
      </c>
      <c r="H609" t="s">
        <v>138</v>
      </c>
      <c r="J609">
        <v>30</v>
      </c>
      <c r="N609" s="1">
        <f>+J609*H$605</f>
        <v>17142857.142857146</v>
      </c>
      <c r="AR609" s="500"/>
      <c r="AS609" s="533"/>
      <c r="AT609" s="624" t="s">
        <v>163</v>
      </c>
      <c r="AU609" s="624"/>
      <c r="AV609" s="624"/>
      <c r="AW609" s="624"/>
      <c r="AX609" s="624"/>
      <c r="AY609" s="624"/>
      <c r="AZ609" s="624"/>
      <c r="BA609" s="562">
        <f>+BA622-BA620</f>
        <v>16784558</v>
      </c>
      <c r="BB609" s="561"/>
      <c r="BC609" s="561">
        <v>1</v>
      </c>
      <c r="BD609" s="561"/>
      <c r="BE609" s="563">
        <f>+BC609*BA609</f>
        <v>16784558</v>
      </c>
      <c r="BF609" s="561"/>
      <c r="BG609" s="561"/>
      <c r="BH609" s="533"/>
      <c r="BI609" s="500"/>
      <c r="BP609" s="56">
        <f>+BE609-BA609</f>
        <v>0</v>
      </c>
    </row>
    <row r="610" spans="4:75" x14ac:dyDescent="0.3">
      <c r="D610" s="56">
        <f>+D609+N610</f>
        <v>68571428.571428582</v>
      </c>
      <c r="H610" t="s">
        <v>139</v>
      </c>
      <c r="J610">
        <v>31</v>
      </c>
      <c r="N610" s="1">
        <f>+J610*H$605</f>
        <v>17714285.714285716</v>
      </c>
      <c r="AR610" s="500"/>
      <c r="AS610" s="533"/>
      <c r="AT610" s="569" t="s">
        <v>184</v>
      </c>
      <c r="AU610" s="561"/>
      <c r="AV610" s="561"/>
      <c r="AW610" s="561"/>
      <c r="AX610" s="561"/>
      <c r="AY610" s="561"/>
      <c r="AZ610" s="561"/>
      <c r="BA610" s="562">
        <f>SUM(D328:D386)</f>
        <v>4197929</v>
      </c>
      <c r="BB610" s="561"/>
      <c r="BC610" s="561">
        <v>1</v>
      </c>
      <c r="BD610" s="561"/>
      <c r="BE610" s="563">
        <f>+BC610*BA610</f>
        <v>4197929</v>
      </c>
      <c r="BF610" s="561"/>
      <c r="BG610" s="561"/>
      <c r="BH610" s="533"/>
      <c r="BI610" s="500"/>
      <c r="BP610" s="56">
        <f>+BE610-BA610</f>
        <v>0</v>
      </c>
    </row>
    <row r="611" spans="4:75" x14ac:dyDescent="0.3">
      <c r="D611" s="56"/>
      <c r="N611" s="1"/>
      <c r="AR611" s="500"/>
      <c r="AS611" s="533"/>
      <c r="AT611" s="569" t="s">
        <v>189</v>
      </c>
      <c r="AU611" s="561"/>
      <c r="AV611" s="561"/>
      <c r="AW611" s="561"/>
      <c r="AX611" s="561"/>
      <c r="AY611" s="561"/>
      <c r="AZ611" s="561"/>
      <c r="BA611" s="562">
        <f>SUM(D387:D516)</f>
        <v>4843607</v>
      </c>
      <c r="BB611" s="561"/>
      <c r="BC611" s="561">
        <v>1</v>
      </c>
      <c r="BD611" s="561"/>
      <c r="BE611" s="563">
        <f>+BC611*BA611</f>
        <v>4843607</v>
      </c>
      <c r="BF611" s="561"/>
      <c r="BG611" s="561"/>
      <c r="BH611" s="533"/>
      <c r="BI611" s="500"/>
      <c r="BP611" s="56"/>
    </row>
    <row r="612" spans="4:75" x14ac:dyDescent="0.3">
      <c r="AR612" s="500"/>
      <c r="AS612" s="533"/>
      <c r="AT612" s="625" t="s">
        <v>165</v>
      </c>
      <c r="AU612" s="625"/>
      <c r="AV612" s="625"/>
      <c r="AW612" s="625"/>
      <c r="AX612" s="625"/>
      <c r="AY612" s="625"/>
      <c r="AZ612" s="625"/>
      <c r="BA612" s="561"/>
      <c r="BB612" s="561"/>
      <c r="BC612" s="561"/>
      <c r="BD612" s="561"/>
      <c r="BE612" s="563"/>
      <c r="BF612" s="561"/>
      <c r="BG612" s="561"/>
      <c r="BH612" s="533"/>
      <c r="BI612" s="500"/>
      <c r="BP612" s="56">
        <f>+BA610-BA611</f>
        <v>-645678</v>
      </c>
    </row>
    <row r="613" spans="4:75" ht="15" thickBot="1" x14ac:dyDescent="0.35">
      <c r="D613" s="56">
        <f>+BE613+D610</f>
        <v>178203672.5714286</v>
      </c>
      <c r="H613" s="59">
        <f>+D613/320000000</f>
        <v>0.55688647678571435</v>
      </c>
      <c r="AR613" s="500"/>
      <c r="AS613" s="533"/>
      <c r="AT613" s="561"/>
      <c r="AU613" s="561"/>
      <c r="AV613" s="561"/>
      <c r="AW613" s="561"/>
      <c r="AX613" s="561"/>
      <c r="AY613" s="561"/>
      <c r="AZ613" s="561"/>
      <c r="BA613" s="564">
        <f>SUM(BA607:BA611)</f>
        <v>35761323</v>
      </c>
      <c r="BB613" s="561"/>
      <c r="BC613" s="561"/>
      <c r="BD613" s="561"/>
      <c r="BE613" s="564">
        <f>SUM(BE607:BE612)</f>
        <v>109632244</v>
      </c>
      <c r="BF613" s="561"/>
      <c r="BG613" s="565">
        <f>+BE613/320000000</f>
        <v>0.34260076249999999</v>
      </c>
      <c r="BH613" s="533"/>
      <c r="BI613" s="500"/>
      <c r="BP613" s="59">
        <f>+BP612/BA610</f>
        <v>-0.15380869948014841</v>
      </c>
    </row>
    <row r="614" spans="4:75" ht="15" thickTop="1" x14ac:dyDescent="0.3">
      <c r="D614" s="56"/>
      <c r="H614" s="59"/>
      <c r="AR614" s="500"/>
      <c r="AS614" s="533"/>
      <c r="AT614" s="575" t="s">
        <v>186</v>
      </c>
      <c r="AU614" s="561"/>
      <c r="AV614" s="561"/>
      <c r="AW614" s="561"/>
      <c r="AX614" s="561"/>
      <c r="AY614" s="561"/>
      <c r="AZ614" s="561"/>
      <c r="BA614" s="484">
        <f>+BY633</f>
        <v>0.50195180722891564</v>
      </c>
      <c r="BB614" s="561"/>
      <c r="BC614" s="561"/>
      <c r="BD614" s="561"/>
      <c r="BE614" s="574"/>
      <c r="BF614" s="561"/>
      <c r="BG614" s="484"/>
      <c r="BH614" s="533"/>
      <c r="BI614" s="500"/>
      <c r="BP614" s="59"/>
    </row>
    <row r="615" spans="4:75" x14ac:dyDescent="0.3">
      <c r="D615" s="56"/>
      <c r="H615" s="59"/>
      <c r="AR615" s="500"/>
      <c r="AS615" s="533"/>
      <c r="AT615" s="575" t="s">
        <v>188</v>
      </c>
      <c r="AU615" s="561"/>
      <c r="AV615" s="561"/>
      <c r="AW615" s="561"/>
      <c r="AX615" s="561"/>
      <c r="AY615" s="561"/>
      <c r="AZ615" s="561"/>
      <c r="BA615" s="576">
        <f>+BA613*BA614</f>
        <v>17950460.708746988</v>
      </c>
      <c r="BB615" s="561"/>
      <c r="BC615" s="561"/>
      <c r="BD615" s="561"/>
      <c r="BE615" s="574"/>
      <c r="BF615" s="561"/>
      <c r="BG615" s="484"/>
      <c r="BH615" s="533"/>
      <c r="BI615" s="500"/>
      <c r="BP615" s="59"/>
    </row>
    <row r="616" spans="4:75" ht="15" thickBot="1" x14ac:dyDescent="0.35">
      <c r="D616" s="56"/>
      <c r="H616" s="59"/>
      <c r="AR616" s="500"/>
      <c r="AS616" s="533"/>
      <c r="AT616" s="575" t="s">
        <v>187</v>
      </c>
      <c r="AU616" s="561"/>
      <c r="AV616" s="561"/>
      <c r="AW616" s="561"/>
      <c r="AX616" s="561"/>
      <c r="AY616" s="561"/>
      <c r="AZ616" s="561"/>
      <c r="BA616" s="564">
        <f>+BA613-BA615</f>
        <v>17810862.291253012</v>
      </c>
      <c r="BB616" s="561"/>
      <c r="BC616" s="561"/>
      <c r="BD616" s="561"/>
      <c r="BE616" s="574"/>
      <c r="BF616" s="561"/>
      <c r="BG616" s="484"/>
      <c r="BH616" s="533"/>
      <c r="BI616" s="500"/>
      <c r="BP616" s="59"/>
    </row>
    <row r="617" spans="4:75" ht="15" thickTop="1" x14ac:dyDescent="0.3">
      <c r="AR617" s="500"/>
      <c r="AS617" s="533"/>
      <c r="AT617" s="561"/>
      <c r="AU617" s="561"/>
      <c r="AV617" s="561"/>
      <c r="AW617" s="561"/>
      <c r="AX617" s="561"/>
      <c r="AY617" s="561"/>
      <c r="AZ617" s="561"/>
      <c r="BA617" s="561"/>
      <c r="BB617" s="561"/>
      <c r="BC617" s="561"/>
      <c r="BD617" s="561"/>
      <c r="BE617" s="561"/>
      <c r="BF617" s="561"/>
      <c r="BG617" s="561"/>
      <c r="BH617" s="533"/>
      <c r="BI617" s="500"/>
    </row>
    <row r="618" spans="4:75" x14ac:dyDescent="0.3">
      <c r="AR618" s="500"/>
      <c r="AS618" s="500"/>
      <c r="AT618" s="500"/>
      <c r="AU618" s="500"/>
      <c r="AV618" s="500"/>
      <c r="AW618" s="500"/>
      <c r="AX618" s="500"/>
      <c r="AY618" s="500"/>
      <c r="AZ618" s="500"/>
      <c r="BA618" s="500"/>
      <c r="BB618" s="500"/>
      <c r="BC618" s="500"/>
      <c r="BD618" s="500"/>
      <c r="BE618" s="500"/>
      <c r="BF618" s="500"/>
      <c r="BG618" s="500"/>
      <c r="BH618" s="500"/>
      <c r="BI618" s="500"/>
    </row>
    <row r="620" spans="4:75" x14ac:dyDescent="0.3">
      <c r="AV620" t="s">
        <v>153</v>
      </c>
      <c r="BA620" s="56">
        <f>+H235</f>
        <v>9935229</v>
      </c>
    </row>
    <row r="622" spans="4:75" x14ac:dyDescent="0.3">
      <c r="AV622" t="s">
        <v>164</v>
      </c>
      <c r="BA622" s="56">
        <f>+H327</f>
        <v>26719787</v>
      </c>
    </row>
    <row r="623" spans="4:75" x14ac:dyDescent="0.3">
      <c r="BA623" s="56"/>
    </row>
    <row r="624" spans="4:75" x14ac:dyDescent="0.3">
      <c r="AR624" s="500"/>
      <c r="AS624" s="500"/>
      <c r="AT624" s="500"/>
      <c r="AU624" s="500"/>
      <c r="AV624" s="500"/>
      <c r="AW624" s="500"/>
      <c r="AX624" s="500"/>
      <c r="AY624" s="500"/>
      <c r="AZ624" s="500"/>
      <c r="BA624" s="557"/>
      <c r="BB624" s="500"/>
      <c r="BC624" s="500"/>
      <c r="BD624" s="500"/>
      <c r="BE624" s="500"/>
      <c r="BF624" s="500"/>
      <c r="BG624" s="500"/>
      <c r="BH624" s="500"/>
      <c r="BI624" s="500"/>
      <c r="BJ624" s="500"/>
      <c r="BK624" s="500"/>
      <c r="BL624" s="500"/>
      <c r="BM624" s="500"/>
      <c r="BN624" s="500"/>
      <c r="BO624" s="500"/>
      <c r="BP624" s="500"/>
      <c r="BQ624" s="500"/>
      <c r="BR624" s="500"/>
      <c r="BS624" s="500"/>
      <c r="BT624" s="500"/>
      <c r="BU624" s="500"/>
      <c r="BV624" s="500"/>
      <c r="BW624" s="500"/>
    </row>
    <row r="625" spans="44:90" ht="14.4" customHeight="1" x14ac:dyDescent="0.3">
      <c r="AR625" s="500"/>
      <c r="AS625" s="533"/>
      <c r="AT625" s="587" t="s">
        <v>177</v>
      </c>
      <c r="AU625" s="587"/>
      <c r="AV625" s="587"/>
      <c r="AW625" s="587"/>
      <c r="AX625" s="587"/>
      <c r="AY625" s="587"/>
      <c r="AZ625" s="587"/>
      <c r="BA625" s="587"/>
      <c r="BB625" s="587"/>
      <c r="BC625" s="587"/>
      <c r="BD625" s="587"/>
      <c r="BE625" s="587"/>
      <c r="BF625" s="587"/>
      <c r="BG625" s="587"/>
      <c r="BH625" s="587"/>
      <c r="BI625" s="587"/>
      <c r="BJ625" s="587"/>
      <c r="BK625" s="587"/>
      <c r="BL625" s="587"/>
      <c r="BM625" s="587"/>
      <c r="BN625" s="587"/>
      <c r="BO625" s="587"/>
      <c r="BP625" s="587"/>
      <c r="BQ625" s="587"/>
      <c r="BR625" s="587"/>
      <c r="BS625" s="587"/>
      <c r="BT625" s="587"/>
      <c r="BU625" s="587"/>
      <c r="BV625" s="587"/>
      <c r="BW625" s="500"/>
    </row>
    <row r="626" spans="44:90" ht="14.4" customHeight="1" x14ac:dyDescent="0.3">
      <c r="AR626" s="500"/>
      <c r="AS626" s="533"/>
      <c r="AT626" s="533"/>
      <c r="AU626" s="533"/>
      <c r="AV626" s="533"/>
      <c r="AW626" s="533"/>
      <c r="AX626" s="533"/>
      <c r="AY626" s="533"/>
      <c r="AZ626" s="533"/>
      <c r="BA626" s="629" t="s">
        <v>173</v>
      </c>
      <c r="BB626" s="629"/>
      <c r="BC626" s="629"/>
      <c r="BD626" s="629"/>
      <c r="BE626" s="629"/>
      <c r="BF626" s="561"/>
      <c r="BG626" s="587" t="s">
        <v>181</v>
      </c>
      <c r="BH626" s="587"/>
      <c r="BI626" s="587"/>
      <c r="BJ626" s="587"/>
      <c r="BK626" s="587"/>
      <c r="BL626" s="587"/>
      <c r="BM626" s="587"/>
      <c r="BN626" s="587"/>
      <c r="BO626" s="587"/>
      <c r="BP626" s="587"/>
      <c r="BQ626" s="533"/>
      <c r="BR626" s="621" t="s">
        <v>177</v>
      </c>
      <c r="BS626" s="621"/>
      <c r="BT626" s="621"/>
      <c r="BU626" s="621"/>
      <c r="BV626" s="621"/>
      <c r="BW626" s="500"/>
    </row>
    <row r="627" spans="44:90" x14ac:dyDescent="0.3">
      <c r="AR627" s="500"/>
      <c r="AS627" s="533"/>
      <c r="AT627" s="533"/>
      <c r="AU627" s="533"/>
      <c r="AV627" s="533"/>
      <c r="AW627" s="533"/>
      <c r="AX627" s="533"/>
      <c r="AY627" s="533"/>
      <c r="AZ627" s="533"/>
      <c r="BA627" s="570" t="s">
        <v>178</v>
      </c>
      <c r="BB627" s="571"/>
      <c r="BC627" s="572" t="s">
        <v>183</v>
      </c>
      <c r="BD627" s="571"/>
      <c r="BE627" s="572" t="s">
        <v>179</v>
      </c>
      <c r="BF627" s="561"/>
      <c r="BG627" s="570"/>
      <c r="BH627" s="571"/>
      <c r="BI627" s="630"/>
      <c r="BJ627" s="630"/>
      <c r="BK627" s="630"/>
      <c r="BL627" s="630"/>
      <c r="BM627" s="630"/>
      <c r="BN627" s="630"/>
      <c r="BO627" s="473"/>
      <c r="BP627" s="572"/>
      <c r="BQ627" s="533"/>
      <c r="BR627" s="622"/>
      <c r="BS627" s="622"/>
      <c r="BT627" s="622"/>
      <c r="BU627" s="622"/>
      <c r="BV627" s="622"/>
      <c r="BW627" s="500"/>
    </row>
    <row r="628" spans="44:90" x14ac:dyDescent="0.3">
      <c r="AR628" s="500"/>
      <c r="AS628" s="533"/>
      <c r="AT628" s="533"/>
      <c r="AU628" s="533"/>
      <c r="AV628" s="533"/>
      <c r="AW628" s="533"/>
      <c r="AX628" s="533"/>
      <c r="AY628" s="533"/>
      <c r="AZ628" s="533"/>
      <c r="BA628" s="568" t="s">
        <v>174</v>
      </c>
      <c r="BB628" s="566"/>
      <c r="BC628" s="568" t="s">
        <v>176</v>
      </c>
      <c r="BD628" s="566"/>
      <c r="BE628" s="568" t="s">
        <v>175</v>
      </c>
      <c r="BF628" s="561"/>
      <c r="BG628" s="567" t="s">
        <v>181</v>
      </c>
      <c r="BH628" s="561"/>
      <c r="BI628" s="610" t="s">
        <v>185</v>
      </c>
      <c r="BJ628" s="610"/>
      <c r="BK628" s="610"/>
      <c r="BL628" s="610"/>
      <c r="BM628" s="610"/>
      <c r="BN628" s="610"/>
      <c r="BO628" s="561"/>
      <c r="BP628" s="568" t="s">
        <v>182</v>
      </c>
      <c r="BQ628" s="533"/>
      <c r="BR628" s="623" t="s">
        <v>180</v>
      </c>
      <c r="BS628" s="623"/>
      <c r="BT628" s="623"/>
      <c r="BU628" s="623"/>
      <c r="BV628" s="623"/>
      <c r="BW628" s="500"/>
    </row>
    <row r="629" spans="44:90" x14ac:dyDescent="0.3">
      <c r="AR629" s="500"/>
      <c r="AS629" s="533"/>
      <c r="AT629" s="624" t="s">
        <v>162</v>
      </c>
      <c r="AU629" s="624"/>
      <c r="AV629" s="624"/>
      <c r="AW629" s="624"/>
      <c r="AX629" s="624"/>
      <c r="AY629" s="561"/>
      <c r="AZ629" s="561"/>
      <c r="BA629" s="562">
        <f>+BA607</f>
        <v>6826001</v>
      </c>
      <c r="BB629" s="561"/>
      <c r="BC629" s="562">
        <f>+BE629-BA629</f>
        <v>61434009</v>
      </c>
      <c r="BD629" s="561"/>
      <c r="BE629" s="562">
        <f>+BE607</f>
        <v>68260010</v>
      </c>
      <c r="BF629" s="533"/>
      <c r="BG629" s="563">
        <v>0</v>
      </c>
      <c r="BH629" s="563"/>
      <c r="BI629" s="563"/>
      <c r="BJ629" s="563"/>
      <c r="BK629" s="563"/>
      <c r="BL629" s="563"/>
      <c r="BM629" s="563"/>
      <c r="BN629" s="563">
        <f>+BG629</f>
        <v>0</v>
      </c>
      <c r="BO629" s="563"/>
      <c r="BP629" s="563">
        <f>+BN629*0.5</f>
        <v>0</v>
      </c>
      <c r="BQ629" s="561"/>
      <c r="BR629" s="628">
        <f>+BE629+BP629</f>
        <v>68260010</v>
      </c>
      <c r="BS629" s="625"/>
      <c r="BT629" s="625"/>
      <c r="BU629" s="625"/>
      <c r="BV629" s="625"/>
      <c r="BW629" s="500"/>
    </row>
    <row r="630" spans="44:90" x14ac:dyDescent="0.3">
      <c r="AR630" s="500"/>
      <c r="AS630" s="533"/>
      <c r="AT630" s="624" t="s">
        <v>172</v>
      </c>
      <c r="AU630" s="624"/>
      <c r="AV630" s="624"/>
      <c r="AW630" s="624"/>
      <c r="AX630" s="624"/>
      <c r="AY630" s="561"/>
      <c r="AZ630" s="561"/>
      <c r="BA630" s="562">
        <f>+BA629+BA608</f>
        <v>9935229</v>
      </c>
      <c r="BB630" s="561"/>
      <c r="BC630" s="562">
        <f>+BE630-BA630</f>
        <v>73870921</v>
      </c>
      <c r="BD630" s="561"/>
      <c r="BE630" s="562">
        <f>+BE629+BE608</f>
        <v>83806150</v>
      </c>
      <c r="BF630" s="533"/>
      <c r="BG630" s="563">
        <v>0</v>
      </c>
      <c r="BH630" s="563"/>
      <c r="BI630" s="563"/>
      <c r="BJ630" s="563"/>
      <c r="BK630" s="563"/>
      <c r="BL630" s="563"/>
      <c r="BM630" s="563"/>
      <c r="BN630" s="563">
        <f>+BN629+BG630</f>
        <v>0</v>
      </c>
      <c r="BO630" s="563"/>
      <c r="BP630" s="563">
        <f>+BN630*0.5</f>
        <v>0</v>
      </c>
      <c r="BQ630" s="561"/>
      <c r="BR630" s="628">
        <f>+BE630+BP630</f>
        <v>83806150</v>
      </c>
      <c r="BS630" s="625"/>
      <c r="BT630" s="625"/>
      <c r="BU630" s="625"/>
      <c r="BV630" s="625"/>
      <c r="BW630" s="500"/>
    </row>
    <row r="631" spans="44:90" x14ac:dyDescent="0.3">
      <c r="AR631" s="500"/>
      <c r="AS631" s="533"/>
      <c r="AT631" s="624" t="s">
        <v>163</v>
      </c>
      <c r="AU631" s="624"/>
      <c r="AV631" s="624"/>
      <c r="AW631" s="624"/>
      <c r="AX631" s="624"/>
      <c r="AY631" s="624"/>
      <c r="AZ631" s="624"/>
      <c r="BA631" s="562">
        <f>+BA630+BA609</f>
        <v>26719787</v>
      </c>
      <c r="BB631" s="561"/>
      <c r="BC631" s="562">
        <f>(+BE631-BA631)*(1-0.2)</f>
        <v>59096736.800000004</v>
      </c>
      <c r="BD631" s="561"/>
      <c r="BE631" s="562">
        <f>+BE630+BE609</f>
        <v>100590708</v>
      </c>
      <c r="BF631" s="533"/>
      <c r="BG631" s="563">
        <f>13400000+5660000</f>
        <v>19060000</v>
      </c>
      <c r="BH631" s="563"/>
      <c r="BI631" s="627"/>
      <c r="BJ631" s="627"/>
      <c r="BK631" s="627"/>
      <c r="BL631" s="627"/>
      <c r="BM631" s="627"/>
      <c r="BN631" s="627"/>
      <c r="BO631" s="563"/>
      <c r="BP631" s="563">
        <f>+BG631</f>
        <v>19060000</v>
      </c>
      <c r="BQ631" s="561"/>
      <c r="BR631" s="628">
        <f>+BE631+BP631</f>
        <v>119650708</v>
      </c>
      <c r="BS631" s="625"/>
      <c r="BT631" s="625"/>
      <c r="BU631" s="625"/>
      <c r="BV631" s="625"/>
      <c r="BW631" s="500"/>
    </row>
    <row r="632" spans="44:90" x14ac:dyDescent="0.3">
      <c r="AR632" s="500"/>
      <c r="AS632" s="533"/>
      <c r="AT632" s="569" t="s">
        <v>184</v>
      </c>
      <c r="AU632" s="561"/>
      <c r="AV632" s="561"/>
      <c r="AW632" s="561"/>
      <c r="AX632" s="561"/>
      <c r="AY632" s="561"/>
      <c r="AZ632" s="561"/>
      <c r="BA632" s="562">
        <f>+BA631+BA610</f>
        <v>30917716</v>
      </c>
      <c r="BB632" s="561"/>
      <c r="BC632" s="562">
        <f>(+BE632-BA632)*(1-0.34)</f>
        <v>48754807.859999992</v>
      </c>
      <c r="BD632" s="561"/>
      <c r="BE632" s="562">
        <f>+BE631+BE610</f>
        <v>104788637</v>
      </c>
      <c r="BF632" s="533"/>
      <c r="BG632" s="563">
        <f>53420000-BG631</f>
        <v>34360000</v>
      </c>
      <c r="BH632" s="563"/>
      <c r="BI632" s="627"/>
      <c r="BJ632" s="627"/>
      <c r="BK632" s="627"/>
      <c r="BL632" s="627"/>
      <c r="BM632" s="627"/>
      <c r="BN632" s="627"/>
      <c r="BO632" s="563"/>
      <c r="BP632" s="563">
        <f>+BP631+BG632</f>
        <v>53420000</v>
      </c>
      <c r="BQ632" s="561"/>
      <c r="BR632" s="628">
        <f>+BE632+BP632</f>
        <v>158208637</v>
      </c>
      <c r="BS632" s="625"/>
      <c r="BT632" s="625"/>
      <c r="BU632" s="625"/>
      <c r="BV632" s="625"/>
      <c r="BW632" s="500"/>
    </row>
    <row r="633" spans="44:90" x14ac:dyDescent="0.3">
      <c r="AR633" s="500"/>
      <c r="AS633" s="533"/>
      <c r="AT633" s="569" t="s">
        <v>189</v>
      </c>
      <c r="AU633" s="561"/>
      <c r="AV633" s="561"/>
      <c r="AW633" s="561"/>
      <c r="AX633" s="561"/>
      <c r="AY633" s="561"/>
      <c r="AZ633" s="561"/>
      <c r="BA633" s="562">
        <f>+BA616</f>
        <v>17810862.291253012</v>
      </c>
      <c r="BB633" s="561"/>
      <c r="BC633" s="562">
        <f>+BC630*BY633</f>
        <v>37079642.297614455</v>
      </c>
      <c r="BD633" s="561"/>
      <c r="BE633" s="562">
        <f>+BA633+BC633</f>
        <v>54890504.588867471</v>
      </c>
      <c r="BF633" s="533"/>
      <c r="BG633" s="563">
        <f>166648000-BP632</f>
        <v>113228000</v>
      </c>
      <c r="BH633" s="563"/>
      <c r="BI633" s="627"/>
      <c r="BJ633" s="627"/>
      <c r="BK633" s="627"/>
      <c r="BL633" s="627"/>
      <c r="BM633" s="627"/>
      <c r="BN633" s="627"/>
      <c r="BO633" s="563"/>
      <c r="BP633" s="563">
        <f>+BP632+BG633</f>
        <v>166648000</v>
      </c>
      <c r="BQ633" s="561"/>
      <c r="BR633" s="628">
        <f>+BE633+BP633</f>
        <v>221538504.58886749</v>
      </c>
      <c r="BS633" s="625"/>
      <c r="BT633" s="625"/>
      <c r="BU633" s="625"/>
      <c r="BV633" s="625"/>
      <c r="BW633" s="500"/>
      <c r="BY633" s="59">
        <f>+BP633/CL633</f>
        <v>0.50195180722891564</v>
      </c>
      <c r="CL633" s="1">
        <v>332000000</v>
      </c>
    </row>
    <row r="634" spans="44:90" x14ac:dyDescent="0.3">
      <c r="AR634" s="500"/>
      <c r="AS634" s="500"/>
      <c r="AT634" s="500"/>
      <c r="AU634" s="500"/>
      <c r="AV634" s="500"/>
      <c r="AW634" s="500"/>
      <c r="AX634" s="500"/>
      <c r="AY634" s="500"/>
      <c r="AZ634" s="500"/>
      <c r="BA634" s="500"/>
      <c r="BB634" s="500"/>
      <c r="BC634" s="500"/>
      <c r="BD634" s="500"/>
      <c r="BE634" s="500"/>
      <c r="BF634" s="500"/>
      <c r="BG634" s="500"/>
      <c r="BH634" s="500"/>
      <c r="BI634" s="500"/>
      <c r="BJ634" s="500"/>
      <c r="BK634" s="500"/>
      <c r="BL634" s="500"/>
      <c r="BM634" s="500"/>
      <c r="BN634" s="500"/>
      <c r="BO634" s="500"/>
      <c r="BP634" s="500"/>
      <c r="BQ634" s="500"/>
      <c r="BR634" s="500"/>
      <c r="BS634" s="500"/>
      <c r="BT634" s="500"/>
      <c r="BU634" s="500"/>
      <c r="BV634" s="500"/>
      <c r="BW634" s="500"/>
      <c r="CL634" s="59">
        <f>+BR633/CL633</f>
        <v>0.6672846523761069</v>
      </c>
    </row>
    <row r="636" spans="44:90" x14ac:dyDescent="0.3">
      <c r="BA636" s="56">
        <f>+BR633+BA615</f>
        <v>239488965.29761449</v>
      </c>
      <c r="BC636" s="59">
        <f>+BA636/CL633</f>
        <v>0.72135230511329662</v>
      </c>
      <c r="BE636" s="56"/>
      <c r="BP636" s="1">
        <v>164760000</v>
      </c>
      <c r="CL636" s="56">
        <f>+CL633-BR633</f>
        <v>110461495.41113251</v>
      </c>
    </row>
    <row r="637" spans="44:90" x14ac:dyDescent="0.3">
      <c r="BP637" s="56">
        <f>+BP636-BP633</f>
        <v>-1888000</v>
      </c>
    </row>
    <row r="639" spans="44:90" x14ac:dyDescent="0.3">
      <c r="CL639" s="59">
        <f>+BP633/CL633</f>
        <v>0.50195180722891564</v>
      </c>
    </row>
    <row r="641" spans="42:90" x14ac:dyDescent="0.3">
      <c r="BE641" s="500"/>
      <c r="BF641" s="500"/>
      <c r="BG641" s="500"/>
      <c r="BH641" s="500"/>
      <c r="BI641" s="500"/>
      <c r="BJ641" s="500"/>
      <c r="BK641" s="500"/>
      <c r="BL641" s="500"/>
      <c r="BM641" s="500"/>
      <c r="BN641" s="500"/>
      <c r="BO641" s="500"/>
      <c r="BP641" s="500"/>
      <c r="BQ641" s="500"/>
      <c r="BR641" s="500"/>
      <c r="BS641" s="500"/>
      <c r="BT641" s="500"/>
      <c r="BU641" s="500"/>
      <c r="BV641" s="500"/>
      <c r="BW641" s="500"/>
      <c r="BX641" s="500"/>
      <c r="BY641" s="500"/>
    </row>
    <row r="642" spans="42:90" x14ac:dyDescent="0.3">
      <c r="BE642" s="500"/>
      <c r="BF642" s="500"/>
      <c r="BG642" s="500"/>
      <c r="BH642" s="500"/>
      <c r="BI642" s="500"/>
      <c r="BJ642" s="500"/>
      <c r="BK642" s="500"/>
      <c r="BL642" s="500"/>
      <c r="BM642" s="500"/>
      <c r="BN642" s="500"/>
      <c r="BO642" s="500"/>
      <c r="BP642" s="500"/>
      <c r="BQ642" s="500"/>
      <c r="BR642" s="500"/>
      <c r="BS642" s="500"/>
      <c r="BT642" s="500"/>
      <c r="BU642" s="500"/>
      <c r="BV642" s="500"/>
      <c r="BW642" s="500"/>
      <c r="BX642" s="500"/>
      <c r="BY642" s="500"/>
    </row>
    <row r="643" spans="42:90" x14ac:dyDescent="0.3">
      <c r="AP643" s="1">
        <v>1500000</v>
      </c>
      <c r="BE643" s="500"/>
      <c r="BF643" s="500"/>
      <c r="BG643" s="500"/>
      <c r="BH643" s="500"/>
      <c r="BI643" s="500"/>
      <c r="BJ643" s="500"/>
      <c r="BK643" s="500"/>
      <c r="BL643" s="500"/>
      <c r="BM643" s="500"/>
      <c r="BN643" s="500"/>
      <c r="BO643" s="500"/>
      <c r="BP643" s="500"/>
      <c r="BQ643" s="500"/>
      <c r="BR643" s="500"/>
      <c r="BS643" s="500"/>
      <c r="BT643" s="500"/>
      <c r="BU643" s="500"/>
      <c r="BV643" s="500"/>
      <c r="BW643" s="500"/>
      <c r="BX643" s="500"/>
      <c r="BY643" s="500"/>
    </row>
    <row r="644" spans="42:90" x14ac:dyDescent="0.3">
      <c r="AP644">
        <v>7</v>
      </c>
      <c r="BE644" s="500"/>
      <c r="BY644" s="500"/>
      <c r="CL644">
        <v>177090000</v>
      </c>
    </row>
    <row r="645" spans="42:90" x14ac:dyDescent="0.3">
      <c r="AP645" s="1">
        <f>+AP643*AP644</f>
        <v>10500000</v>
      </c>
      <c r="BE645" s="500"/>
      <c r="BY645" s="500"/>
      <c r="CL645" s="231">
        <f>+CL644/CL633</f>
        <v>0.53340361445783135</v>
      </c>
    </row>
    <row r="646" spans="42:90" x14ac:dyDescent="0.3">
      <c r="BE646" s="500"/>
      <c r="BY646" s="500"/>
    </row>
    <row r="647" spans="42:90" x14ac:dyDescent="0.3">
      <c r="BE647" s="500"/>
      <c r="BY647" s="500"/>
    </row>
    <row r="648" spans="42:90" x14ac:dyDescent="0.3">
      <c r="BE648" s="500"/>
      <c r="BY648" s="500"/>
      <c r="CL648" s="56">
        <f>+BR633+27420000</f>
        <v>248958504.58886749</v>
      </c>
    </row>
    <row r="649" spans="42:90" x14ac:dyDescent="0.3">
      <c r="BE649" s="500"/>
      <c r="BY649" s="500"/>
    </row>
    <row r="650" spans="42:90" x14ac:dyDescent="0.3">
      <c r="BE650" s="500"/>
      <c r="BY650" s="500"/>
      <c r="CL650" s="59">
        <f>+CL648/CL633</f>
        <v>0.74987501382189004</v>
      </c>
    </row>
    <row r="651" spans="42:90" x14ac:dyDescent="0.3">
      <c r="BE651" s="500"/>
      <c r="BY651" s="500"/>
    </row>
    <row r="652" spans="42:90" x14ac:dyDescent="0.3">
      <c r="BE652" s="500"/>
      <c r="BY652" s="500"/>
    </row>
    <row r="653" spans="42:90" x14ac:dyDescent="0.3">
      <c r="BE653" s="500"/>
      <c r="BY653" s="500"/>
    </row>
    <row r="654" spans="42:90" x14ac:dyDescent="0.3">
      <c r="BE654" s="500"/>
      <c r="BY654" s="500"/>
    </row>
    <row r="655" spans="42:90" x14ac:dyDescent="0.3">
      <c r="BE655" s="500"/>
      <c r="BY655" s="500"/>
    </row>
    <row r="656" spans="42:90" x14ac:dyDescent="0.3">
      <c r="BE656" s="500"/>
      <c r="BY656" s="500"/>
    </row>
    <row r="657" spans="57:77" x14ac:dyDescent="0.3">
      <c r="BE657" s="500"/>
      <c r="BF657" s="500"/>
      <c r="BG657" s="500"/>
      <c r="BH657" s="500"/>
      <c r="BI657" s="500"/>
      <c r="BJ657" s="500"/>
      <c r="BK657" s="500"/>
      <c r="BL657" s="500"/>
      <c r="BM657" s="500"/>
      <c r="BN657" s="500"/>
      <c r="BO657" s="500"/>
      <c r="BP657" s="500"/>
      <c r="BQ657" s="500"/>
      <c r="BR657" s="500"/>
      <c r="BS657" s="500"/>
      <c r="BT657" s="500"/>
      <c r="BU657" s="500"/>
      <c r="BV657" s="500"/>
      <c r="BW657" s="500"/>
      <c r="BX657" s="500"/>
      <c r="BY657" s="500"/>
    </row>
    <row r="658" spans="57:77" x14ac:dyDescent="0.3">
      <c r="BE658" s="500"/>
      <c r="BF658" s="500"/>
      <c r="BG658" s="500"/>
      <c r="BH658" s="500"/>
      <c r="BI658" s="500"/>
      <c r="BJ658" s="500"/>
      <c r="BK658" s="500"/>
      <c r="BL658" s="500"/>
      <c r="BM658" s="500"/>
      <c r="BN658" s="500"/>
      <c r="BO658" s="500"/>
      <c r="BP658" s="500"/>
      <c r="BQ658" s="500"/>
      <c r="BR658" s="500"/>
      <c r="BS658" s="500"/>
      <c r="BT658" s="500"/>
      <c r="BU658" s="500"/>
      <c r="BV658" s="500"/>
      <c r="BW658" s="500"/>
      <c r="BX658" s="500"/>
      <c r="BY658" s="500"/>
    </row>
    <row r="659" spans="57:77" x14ac:dyDescent="0.3">
      <c r="BE659" s="500"/>
      <c r="BF659" s="500"/>
      <c r="BG659" s="500"/>
      <c r="BH659" s="500"/>
      <c r="BI659" s="500"/>
      <c r="BJ659" s="500"/>
      <c r="BK659" s="500"/>
      <c r="BL659" s="500"/>
      <c r="BM659" s="500"/>
      <c r="BN659" s="500"/>
      <c r="BO659" s="500"/>
      <c r="BP659" s="500"/>
      <c r="BQ659" s="500"/>
      <c r="BR659" s="500"/>
      <c r="BS659" s="500"/>
      <c r="BT659" s="500"/>
      <c r="BU659" s="500"/>
      <c r="BV659" s="500"/>
      <c r="BW659" s="500"/>
      <c r="BX659" s="500"/>
      <c r="BY659" s="500"/>
    </row>
    <row r="660" spans="57:77" x14ac:dyDescent="0.3">
      <c r="BE660" s="500"/>
      <c r="BF660" s="500"/>
      <c r="BG660" s="500"/>
      <c r="BH660" s="500"/>
      <c r="BI660" s="500"/>
      <c r="BJ660" s="500"/>
      <c r="BK660" s="500"/>
      <c r="BL660" s="500"/>
      <c r="BM660" s="500"/>
      <c r="BN660" s="500"/>
      <c r="BO660" s="500"/>
      <c r="BP660" s="500"/>
      <c r="BQ660" s="500"/>
      <c r="BR660" s="500"/>
      <c r="BS660" s="500"/>
      <c r="BT660" s="500"/>
      <c r="BU660" s="500"/>
      <c r="BV660" s="500"/>
      <c r="BW660" s="500"/>
      <c r="BX660" s="500"/>
      <c r="BY660" s="500"/>
    </row>
    <row r="661" spans="57:77" x14ac:dyDescent="0.3">
      <c r="BE661" s="500"/>
      <c r="BF661" s="500"/>
      <c r="BG661" s="500"/>
      <c r="BH661" s="500"/>
      <c r="BI661" s="500"/>
      <c r="BJ661" s="500"/>
      <c r="BK661" s="500"/>
      <c r="BL661" s="500"/>
      <c r="BM661" s="500"/>
      <c r="BN661" s="500"/>
      <c r="BO661" s="500"/>
      <c r="BP661" s="500"/>
      <c r="BQ661" s="500"/>
      <c r="BR661" s="500"/>
      <c r="BS661" s="500"/>
      <c r="BT661" s="500"/>
      <c r="BU661" s="500"/>
      <c r="BV661" s="500"/>
      <c r="BW661" s="500"/>
      <c r="BX661" s="500"/>
      <c r="BY661" s="500"/>
    </row>
    <row r="662" spans="57:77" x14ac:dyDescent="0.3">
      <c r="BE662" s="500"/>
      <c r="BF662" s="500"/>
      <c r="BG662" s="500"/>
      <c r="BH662" s="500"/>
      <c r="BI662" s="500"/>
      <c r="BJ662" s="500"/>
      <c r="BK662" s="500"/>
      <c r="BL662" s="500"/>
      <c r="BM662" s="500"/>
      <c r="BN662" s="500"/>
      <c r="BO662" s="500"/>
      <c r="BP662" s="500"/>
      <c r="BQ662" s="500"/>
      <c r="BR662" s="500"/>
      <c r="BS662" s="500"/>
      <c r="BT662" s="500"/>
      <c r="BU662" s="500"/>
      <c r="BV662" s="500"/>
      <c r="BW662" s="500"/>
      <c r="BX662" s="500"/>
      <c r="BY662" s="500"/>
    </row>
    <row r="663" spans="57:77" x14ac:dyDescent="0.3">
      <c r="BE663" s="500"/>
      <c r="BF663" s="500"/>
      <c r="BG663" s="500"/>
      <c r="BH663" s="500"/>
      <c r="BI663" s="500"/>
      <c r="BJ663" s="500"/>
      <c r="BK663" s="500"/>
      <c r="BL663" s="500"/>
      <c r="BM663" s="500"/>
      <c r="BN663" s="500"/>
      <c r="BO663" s="500"/>
      <c r="BP663" s="500"/>
      <c r="BQ663" s="500"/>
      <c r="BR663" s="500"/>
      <c r="BS663" s="500"/>
      <c r="BT663" s="500"/>
      <c r="BU663" s="500"/>
      <c r="BV663" s="500"/>
      <c r="BW663" s="500"/>
      <c r="BX663" s="500"/>
      <c r="BY663" s="500"/>
    </row>
    <row r="664" spans="57:77" x14ac:dyDescent="0.3">
      <c r="BE664" s="500"/>
      <c r="BF664" s="500"/>
      <c r="BG664" s="500"/>
      <c r="BH664" s="500"/>
      <c r="BI664" s="500"/>
      <c r="BJ664" s="500"/>
      <c r="BK664" s="500"/>
      <c r="BL664" s="500"/>
      <c r="BM664" s="500"/>
      <c r="BN664" s="500"/>
      <c r="BO664" s="500"/>
      <c r="BP664" s="500"/>
      <c r="BQ664" s="500"/>
      <c r="BR664" s="500"/>
      <c r="BS664" s="500"/>
      <c r="BT664" s="500"/>
      <c r="BU664" s="500"/>
      <c r="BV664" s="500"/>
      <c r="BW664" s="500"/>
      <c r="BX664" s="500"/>
      <c r="BY664" s="500"/>
    </row>
  </sheetData>
  <mergeCells count="57">
    <mergeCell ref="AT629:AX629"/>
    <mergeCell ref="AT630:AX630"/>
    <mergeCell ref="AT631:AZ631"/>
    <mergeCell ref="BA626:BE626"/>
    <mergeCell ref="BG626:BP626"/>
    <mergeCell ref="BI628:BN628"/>
    <mergeCell ref="BI631:BN631"/>
    <mergeCell ref="BI627:BN627"/>
    <mergeCell ref="BI633:BN633"/>
    <mergeCell ref="BR629:BV629"/>
    <mergeCell ref="BR630:BV630"/>
    <mergeCell ref="BR631:BV631"/>
    <mergeCell ref="BR633:BV633"/>
    <mergeCell ref="BI632:BN632"/>
    <mergeCell ref="BR632:BV632"/>
    <mergeCell ref="BR626:BV627"/>
    <mergeCell ref="BR628:BV628"/>
    <mergeCell ref="AT608:AX608"/>
    <mergeCell ref="AT612:AZ612"/>
    <mergeCell ref="AT606:AY606"/>
    <mergeCell ref="AT609:AZ609"/>
    <mergeCell ref="AT625:BV625"/>
    <mergeCell ref="BG605:BG606"/>
    <mergeCell ref="AT607:AX607"/>
    <mergeCell ref="AK533:AV533"/>
    <mergeCell ref="AK535:AN535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566:J566"/>
    <mergeCell ref="AK543:AN543"/>
    <mergeCell ref="AK534:AN534"/>
    <mergeCell ref="AK544:AN544"/>
    <mergeCell ref="AV593:AX593"/>
    <mergeCell ref="AV598:AY598"/>
    <mergeCell ref="BE605:BE606"/>
    <mergeCell ref="AV581:AX581"/>
    <mergeCell ref="AK536:AN536"/>
    <mergeCell ref="AK537:AN537"/>
    <mergeCell ref="AK538:AN538"/>
    <mergeCell ref="AS604:BH604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39:AP541 AR539:AR5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33"/>
  <sheetViews>
    <sheetView topLeftCell="A491" workbookViewId="0">
      <selection activeCell="AJ19" sqref="AJ1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+K521</f>
        <v>3583956</v>
      </c>
      <c r="AG16" s="187"/>
      <c r="AH16" s="201">
        <f>+AJ31</f>
        <v>11136.151097903627</v>
      </c>
      <c r="AI16" s="201"/>
      <c r="AJ16" s="202">
        <f>+S521</f>
        <v>88690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726395</v>
      </c>
      <c r="AG17" s="188"/>
      <c r="AH17" s="149">
        <v>10539</v>
      </c>
      <c r="AI17" s="201"/>
      <c r="AJ17" s="148">
        <v>18095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1239996</v>
      </c>
      <c r="AG18" s="188"/>
      <c r="AH18" s="149">
        <v>9686</v>
      </c>
      <c r="AI18" s="201"/>
      <c r="AJ18" s="148">
        <v>27900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5550347</v>
      </c>
      <c r="AG19" s="188"/>
      <c r="AH19" s="188"/>
      <c r="AI19" s="188"/>
      <c r="AJ19" s="206">
        <f>SUM(AJ16:AJ18)</f>
        <v>134685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Table'!H520</f>
        <v>0.15520530378588063</v>
      </c>
      <c r="AG21" s="188"/>
      <c r="AH21" s="188"/>
      <c r="AI21" s="188"/>
      <c r="AJ21" s="208">
        <f>+AJ19/'Main Table'!AA520</f>
        <v>0.21861786308485168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+E521</f>
        <v>2176658</v>
      </c>
      <c r="AE27" s="155"/>
      <c r="AF27" s="186">
        <v>11189</v>
      </c>
      <c r="AG27" s="155"/>
      <c r="AH27" s="177">
        <f>+AD27/AD$31</f>
        <v>0.50498393286300813</v>
      </c>
      <c r="AI27" s="177"/>
      <c r="AJ27" s="155">
        <f>+AF27*AH27</f>
        <v>5650.2652248041977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+G521</f>
        <v>1049222</v>
      </c>
      <c r="AE28" s="155"/>
      <c r="AF28" s="186">
        <v>11813</v>
      </c>
      <c r="AG28" s="155"/>
      <c r="AH28" s="177">
        <f>+AD28/AD$31</f>
        <v>0.24341915542376943</v>
      </c>
      <c r="AI28" s="177"/>
      <c r="AJ28" s="155">
        <f>+AF28*AH28</f>
        <v>2875.5104830209884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+I521</f>
        <v>358076</v>
      </c>
      <c r="AE29" s="155"/>
      <c r="AF29" s="186">
        <v>10043</v>
      </c>
      <c r="AG29" s="155"/>
      <c r="AH29" s="177">
        <f>+AD29/AD$31</f>
        <v>8.3073513038729327E-2</v>
      </c>
      <c r="AI29" s="177"/>
      <c r="AJ29" s="155">
        <f>+AF29*AH29</f>
        <v>834.30729144795862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726395</v>
      </c>
      <c r="AE30" s="237"/>
      <c r="AF30" s="155">
        <f>+AH17</f>
        <v>10539</v>
      </c>
      <c r="AG30" s="237"/>
      <c r="AH30" s="177">
        <f>+AD30/AD$31</f>
        <v>0.16852339867449309</v>
      </c>
      <c r="AI30" s="237"/>
      <c r="AJ30" s="155">
        <f>+AF30*AH30</f>
        <v>1776.0680986304826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4310351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11136.151097903627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Table'!AA520</f>
        <v>616075</v>
      </c>
      <c r="AJ49" s="56">
        <f>+AJ19</f>
        <v>134685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134685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481390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202183.8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279206.2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0.45320163941078606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17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ref="K504" si="320">SUM(E504:I504)</f>
        <v>3525502</v>
      </c>
      <c r="L504" s="6"/>
      <c r="M504" s="438">
        <f t="shared" ref="M504" si="321">+(K504-K503)/K503</f>
        <v>1.0565676854977638E-3</v>
      </c>
      <c r="N504" s="29"/>
      <c r="O504" s="29"/>
      <c r="P504" s="29"/>
      <c r="Q504" s="332">
        <f t="shared" ref="Q504" si="322">+K504-K503</f>
        <v>3721</v>
      </c>
      <c r="R504" s="6"/>
      <c r="S504" s="7">
        <f>53610+26579+8288</f>
        <v>88477</v>
      </c>
      <c r="T504" s="6"/>
      <c r="U504" s="243">
        <f t="shared" ref="U504" si="323">+S504/K504</f>
        <v>2.5096284160383401E-2</v>
      </c>
      <c r="W504">
        <f t="shared" si="215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" si="324">SUM(E505:I505)</f>
        <v>3528399</v>
      </c>
      <c r="L505" s="6"/>
      <c r="M505" s="438">
        <f t="shared" ref="M505" si="325">+(K505-K504)/K504</f>
        <v>8.2172694838919395E-4</v>
      </c>
      <c r="N505" s="29"/>
      <c r="O505" s="29"/>
      <c r="P505" s="29"/>
      <c r="Q505" s="332">
        <f t="shared" ref="Q505" si="326">+K505-K504</f>
        <v>2897</v>
      </c>
      <c r="R505" s="6"/>
      <c r="S505" s="7">
        <f>53611+26586+8288</f>
        <v>88485</v>
      </c>
      <c r="T505" s="6"/>
      <c r="U505" s="243">
        <f t="shared" ref="U505" si="327">+S505/K505</f>
        <v>2.5077946116638168E-2</v>
      </c>
      <c r="W505">
        <f t="shared" si="215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ref="K506" si="328">SUM(E506:I506)</f>
        <v>3531612</v>
      </c>
      <c r="L506" s="6"/>
      <c r="M506" s="438">
        <f t="shared" ref="M506" si="329">+(K506-K505)/K505</f>
        <v>9.1061129991250995E-4</v>
      </c>
      <c r="N506" s="29"/>
      <c r="O506" s="29"/>
      <c r="P506" s="29"/>
      <c r="Q506" s="332">
        <f t="shared" ref="Q506" si="330">+K506-K505</f>
        <v>3213</v>
      </c>
      <c r="R506" s="6"/>
      <c r="S506" s="7">
        <f>53623+26589+8288</f>
        <v>88500</v>
      </c>
      <c r="T506" s="6"/>
      <c r="U506" s="243">
        <f t="shared" ref="U506" si="331">+S506/K506</f>
        <v>2.5059377983764921E-2</v>
      </c>
      <c r="W506">
        <f t="shared" si="215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ref="K507" si="332">SUM(E507:I507)</f>
        <v>3535637</v>
      </c>
      <c r="L507" s="6"/>
      <c r="M507" s="438">
        <f t="shared" ref="M507" si="333">+(K507-K506)/K506</f>
        <v>1.1397061738378962E-3</v>
      </c>
      <c r="N507" s="29"/>
      <c r="O507" s="29"/>
      <c r="P507" s="29"/>
      <c r="Q507" s="332">
        <f t="shared" ref="Q507" si="334">+K507-K506</f>
        <v>4025</v>
      </c>
      <c r="R507" s="6"/>
      <c r="S507" s="7">
        <f>53625+26590+8293</f>
        <v>88508</v>
      </c>
      <c r="T507" s="6"/>
      <c r="U507" s="243">
        <f t="shared" ref="U507" si="335">+S507/K507</f>
        <v>2.5033112845012088E-2</v>
      </c>
      <c r="W507">
        <f t="shared" si="215"/>
        <v>497</v>
      </c>
      <c r="Y507" s="56"/>
    </row>
    <row r="508" spans="3:25" x14ac:dyDescent="0.3">
      <c r="C508" s="157">
        <f t="shared" ref="C508:C519" si="336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ref="K508" si="337">SUM(E508:I508)</f>
        <v>3539824</v>
      </c>
      <c r="L508" s="6"/>
      <c r="M508" s="438">
        <f t="shared" ref="M508" si="338">+(K508-K507)/K507</f>
        <v>1.1842279057493741E-3</v>
      </c>
      <c r="N508" s="29"/>
      <c r="O508" s="29"/>
      <c r="P508" s="29"/>
      <c r="Q508" s="332">
        <f t="shared" ref="Q508" si="339">+K508-K507</f>
        <v>4187</v>
      </c>
      <c r="R508" s="6"/>
      <c r="S508" s="7">
        <f>53632+26595+8293</f>
        <v>88520</v>
      </c>
      <c r="T508" s="6"/>
      <c r="U508" s="243">
        <f t="shared" ref="U508" si="340">+S508/K508</f>
        <v>2.5006892998069959E-2</v>
      </c>
      <c r="W508">
        <f t="shared" si="215"/>
        <v>498</v>
      </c>
      <c r="Y508" s="56"/>
    </row>
    <row r="509" spans="3:25" x14ac:dyDescent="0.3">
      <c r="C509" s="157">
        <f t="shared" si="336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ref="K509" si="341">SUM(E509:I509)</f>
        <v>3544078</v>
      </c>
      <c r="L509" s="6"/>
      <c r="M509" s="438">
        <f t="shared" ref="M509" si="342">+(K509-K508)/K508</f>
        <v>1.2017546635086941E-3</v>
      </c>
      <c r="N509" s="29"/>
      <c r="O509" s="29"/>
      <c r="P509" s="29"/>
      <c r="Q509" s="332">
        <f t="shared" ref="Q509" si="343">+K509-K508</f>
        <v>4254</v>
      </c>
      <c r="R509" s="6"/>
      <c r="S509" s="7">
        <f>53641+26602+8293</f>
        <v>88536</v>
      </c>
      <c r="T509" s="6"/>
      <c r="U509" s="243">
        <f t="shared" ref="U509" si="344">+S509/K509</f>
        <v>2.498139149307662E-2</v>
      </c>
      <c r="W509">
        <f t="shared" si="215"/>
        <v>499</v>
      </c>
      <c r="Y509" s="56"/>
    </row>
    <row r="510" spans="3:25" x14ac:dyDescent="0.3">
      <c r="C510" s="157">
        <f t="shared" si="336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ref="K510" si="345">SUM(E510:I510)</f>
        <v>3547580</v>
      </c>
      <c r="L510" s="6"/>
      <c r="M510" s="438">
        <f t="shared" ref="M510" si="346">+(K510-K509)/K509</f>
        <v>9.8812723647730095E-4</v>
      </c>
      <c r="N510" s="29"/>
      <c r="O510" s="29"/>
      <c r="P510" s="29"/>
      <c r="Q510" s="332">
        <f t="shared" ref="Q510" si="347">+K510-K509</f>
        <v>3502</v>
      </c>
      <c r="R510" s="6"/>
      <c r="S510" s="7">
        <f>53650+26607+8293</f>
        <v>88550</v>
      </c>
      <c r="T510" s="6"/>
      <c r="U510" s="243">
        <f t="shared" ref="U510" si="348">+S510/K510</f>
        <v>2.4960677419536698E-2</v>
      </c>
      <c r="W510">
        <f t="shared" si="215"/>
        <v>500</v>
      </c>
      <c r="Y510" s="56"/>
    </row>
    <row r="511" spans="3:25" x14ac:dyDescent="0.3">
      <c r="C511" s="157">
        <f t="shared" si="336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ref="K511" si="349">SUM(E511:I511)</f>
        <v>3552095</v>
      </c>
      <c r="L511" s="6"/>
      <c r="M511" s="438">
        <f t="shared" ref="M511" si="350">+(K511-K510)/K510</f>
        <v>1.2726985719842823E-3</v>
      </c>
      <c r="N511" s="29"/>
      <c r="O511" s="29"/>
      <c r="P511" s="29"/>
      <c r="Q511" s="332">
        <f t="shared" ref="Q511" si="351">+K511-K510</f>
        <v>4515</v>
      </c>
      <c r="R511" s="6"/>
      <c r="S511" s="7">
        <f>53657+26606+8293</f>
        <v>88556</v>
      </c>
      <c r="T511" s="6"/>
      <c r="U511" s="243">
        <f t="shared" ref="U511" si="352">+S511/K511</f>
        <v>2.4930639523999217E-2</v>
      </c>
      <c r="W511">
        <f t="shared" si="215"/>
        <v>501</v>
      </c>
      <c r="Y511" s="56"/>
    </row>
    <row r="512" spans="3:25" x14ac:dyDescent="0.3">
      <c r="C512" s="157">
        <f t="shared" si="336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ref="K512" si="353">SUM(E512:I512)</f>
        <v>3557024</v>
      </c>
      <c r="L512" s="6"/>
      <c r="M512" s="438">
        <f t="shared" ref="M512" si="354">+(K512-K511)/K511</f>
        <v>1.3876318060187017E-3</v>
      </c>
      <c r="N512" s="29"/>
      <c r="O512" s="29"/>
      <c r="P512" s="29"/>
      <c r="Q512" s="332">
        <f t="shared" ref="Q512" si="355">+K512-K511</f>
        <v>4929</v>
      </c>
      <c r="R512" s="6"/>
      <c r="S512" s="7">
        <f>53670+26614+8292</f>
        <v>88576</v>
      </c>
      <c r="T512" s="6"/>
      <c r="U512" s="243">
        <f t="shared" ref="U512" si="356">+S512/K512</f>
        <v>2.4901715591460725E-2</v>
      </c>
      <c r="W512">
        <f t="shared" si="215"/>
        <v>502</v>
      </c>
      <c r="Y512" s="56"/>
    </row>
    <row r="513" spans="3:25" x14ac:dyDescent="0.3">
      <c r="C513" s="157">
        <f t="shared" si="336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ref="K513" si="357">SUM(E513:I513)</f>
        <v>3561717</v>
      </c>
      <c r="L513" s="6"/>
      <c r="M513" s="438">
        <f t="shared" ref="M513" si="358">+(K513-K512)/K512</f>
        <v>1.3193613537608967E-3</v>
      </c>
      <c r="N513" s="29"/>
      <c r="O513" s="29"/>
      <c r="P513" s="29"/>
      <c r="Q513" s="332">
        <f t="shared" ref="Q513" si="359">+K513-K512</f>
        <v>4693</v>
      </c>
      <c r="R513" s="6"/>
      <c r="S513" s="7">
        <f>53676+26625+8292</f>
        <v>88593</v>
      </c>
      <c r="T513" s="6"/>
      <c r="U513" s="243">
        <f t="shared" ref="U513" si="360">+S513/K513</f>
        <v>2.487367749880184E-2</v>
      </c>
      <c r="W513">
        <f t="shared" si="215"/>
        <v>503</v>
      </c>
      <c r="Y513" s="56"/>
    </row>
    <row r="514" spans="3:25" x14ac:dyDescent="0.3">
      <c r="C514" s="157">
        <f t="shared" si="336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ref="K514" si="361">SUM(E514:I514)</f>
        <v>3567363</v>
      </c>
      <c r="L514" s="6"/>
      <c r="M514" s="438">
        <f t="shared" ref="M514" si="362">+(K514-K513)/K513</f>
        <v>1.5851905134517986E-3</v>
      </c>
      <c r="N514" s="29"/>
      <c r="O514" s="29"/>
      <c r="P514" s="29"/>
      <c r="Q514" s="332">
        <f t="shared" ref="Q514" si="363">+K514-K513</f>
        <v>5646</v>
      </c>
      <c r="R514" s="6"/>
      <c r="S514" s="7">
        <f>53691+26629+8296</f>
        <v>88616</v>
      </c>
      <c r="T514" s="6"/>
      <c r="U514" s="243">
        <f t="shared" ref="U514" si="364">+S514/K514</f>
        <v>2.4840757724963788E-2</v>
      </c>
      <c r="W514">
        <f t="shared" si="215"/>
        <v>504</v>
      </c>
      <c r="Y514" s="56"/>
    </row>
    <row r="515" spans="3:25" x14ac:dyDescent="0.3">
      <c r="C515" s="157">
        <f t="shared" si="336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ref="K515" si="365">SUM(E515:I515)</f>
        <v>3573179</v>
      </c>
      <c r="L515" s="6"/>
      <c r="M515" s="438">
        <f t="shared" ref="M515" si="366">+(K515-K514)/K514</f>
        <v>1.6303359091855805E-3</v>
      </c>
      <c r="N515" s="29"/>
      <c r="O515" s="29"/>
      <c r="P515" s="29"/>
      <c r="Q515" s="332">
        <f t="shared" ref="Q515" si="367">+K515-K514</f>
        <v>5816</v>
      </c>
      <c r="R515" s="6"/>
      <c r="S515" s="7">
        <f>53694+26636+8296</f>
        <v>88626</v>
      </c>
      <c r="T515" s="6"/>
      <c r="U515" s="243">
        <f t="shared" ref="U515" si="368">+S515/K515</f>
        <v>2.4803123493113557E-2</v>
      </c>
      <c r="W515">
        <f t="shared" si="215"/>
        <v>505</v>
      </c>
      <c r="Y515" s="56"/>
    </row>
    <row r="516" spans="3:25" x14ac:dyDescent="0.3">
      <c r="C516" s="157">
        <f t="shared" si="336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ref="K516" si="369">SUM(E516:I516)</f>
        <v>3579209</v>
      </c>
      <c r="L516" s="6"/>
      <c r="M516" s="438">
        <f t="shared" ref="M516" si="370">+(K516-K515)/K515</f>
        <v>1.687572886776733E-3</v>
      </c>
      <c r="N516" s="29"/>
      <c r="O516" s="29"/>
      <c r="P516" s="29"/>
      <c r="Q516" s="332">
        <f t="shared" ref="Q516" si="371">+K516-K515</f>
        <v>6030</v>
      </c>
      <c r="R516" s="6"/>
      <c r="S516" s="7">
        <f>53729+26645+8296</f>
        <v>88670</v>
      </c>
      <c r="T516" s="6"/>
      <c r="U516" s="243">
        <f t="shared" ref="U516" si="372">+S516/K516</f>
        <v>2.4773630151242915E-2</v>
      </c>
      <c r="W516">
        <f t="shared" si="215"/>
        <v>506</v>
      </c>
      <c r="Y516" s="56"/>
    </row>
    <row r="517" spans="3:25" x14ac:dyDescent="0.3">
      <c r="C517" s="157">
        <f t="shared" si="336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ref="K517" si="373">SUM(E517:I517)</f>
        <v>3583956</v>
      </c>
      <c r="L517" s="6"/>
      <c r="M517" s="438">
        <f t="shared" ref="M517" si="374">+(K517-K516)/K516</f>
        <v>1.3262706927703858E-3</v>
      </c>
      <c r="N517" s="29"/>
      <c r="O517" s="29"/>
      <c r="P517" s="29"/>
      <c r="Q517" s="332">
        <f t="shared" ref="Q517" si="375">+K517-K516</f>
        <v>4747</v>
      </c>
      <c r="R517" s="6"/>
      <c r="S517" s="7">
        <f>53744+26650+8296</f>
        <v>88690</v>
      </c>
      <c r="T517" s="6"/>
      <c r="U517" s="243">
        <f t="shared" ref="U517" si="376">+S517/K517</f>
        <v>2.4746397556219997E-2</v>
      </c>
      <c r="W517">
        <f t="shared" si="215"/>
        <v>507</v>
      </c>
      <c r="Y517" s="56"/>
    </row>
    <row r="518" spans="3:25" x14ac:dyDescent="0.3">
      <c r="C518" s="157">
        <f t="shared" si="336"/>
        <v>44417</v>
      </c>
      <c r="E518" s="241"/>
      <c r="F518" s="7"/>
      <c r="G518" s="7"/>
      <c r="H518" s="7"/>
      <c r="I518" s="7"/>
      <c r="J518" s="244"/>
      <c r="K518" s="7"/>
      <c r="L518" s="6"/>
      <c r="M518" s="438"/>
      <c r="N518" s="29"/>
      <c r="O518" s="29"/>
      <c r="P518" s="29"/>
      <c r="Q518" s="332"/>
      <c r="R518" s="6"/>
      <c r="S518" s="7"/>
      <c r="T518" s="6"/>
      <c r="U518" s="243"/>
      <c r="Y518" s="56"/>
    </row>
    <row r="519" spans="3:25" ht="15" thickBot="1" x14ac:dyDescent="0.35">
      <c r="C519" s="157">
        <f t="shared" si="336"/>
        <v>44418</v>
      </c>
      <c r="E519" s="245"/>
      <c r="F519" s="246"/>
      <c r="G519" s="246"/>
      <c r="H519" s="246"/>
      <c r="I519" s="246"/>
      <c r="J519" s="246"/>
      <c r="K519" s="246"/>
      <c r="L519" s="247"/>
      <c r="M519" s="248"/>
      <c r="N519" s="248"/>
      <c r="O519" s="248"/>
      <c r="P519" s="248"/>
      <c r="Q519" s="331"/>
      <c r="R519" s="247"/>
      <c r="S519" s="247"/>
      <c r="T519" s="247"/>
      <c r="U519" s="249"/>
      <c r="W519">
        <f>+W405+1</f>
        <v>396</v>
      </c>
      <c r="Y519" s="59"/>
    </row>
    <row r="520" spans="3:25" x14ac:dyDescent="0.3">
      <c r="E520" s="56"/>
      <c r="F520" s="1"/>
      <c r="G520" s="56"/>
      <c r="H520" s="56"/>
      <c r="I520" s="56"/>
      <c r="J520" s="1"/>
      <c r="K520" s="56"/>
      <c r="S520" s="56"/>
    </row>
    <row r="521" spans="3:25" x14ac:dyDescent="0.3">
      <c r="C521" s="166" t="s">
        <v>73</v>
      </c>
      <c r="E521" s="56">
        <f>+E517</f>
        <v>2176658</v>
      </c>
      <c r="F521" s="56"/>
      <c r="G521" s="56">
        <f t="shared" ref="G521:U521" si="377">+G517</f>
        <v>1049222</v>
      </c>
      <c r="H521" s="56">
        <f t="shared" si="377"/>
        <v>0</v>
      </c>
      <c r="I521" s="56">
        <f t="shared" si="377"/>
        <v>358076</v>
      </c>
      <c r="J521" s="56">
        <f t="shared" si="377"/>
        <v>0</v>
      </c>
      <c r="K521" s="56">
        <f t="shared" si="377"/>
        <v>3583956</v>
      </c>
      <c r="L521" s="56">
        <f t="shared" si="377"/>
        <v>0</v>
      </c>
      <c r="M521" s="56">
        <f t="shared" si="377"/>
        <v>1.3262706927703858E-3</v>
      </c>
      <c r="N521" s="56">
        <f t="shared" si="377"/>
        <v>0</v>
      </c>
      <c r="O521" s="56">
        <f t="shared" si="377"/>
        <v>0</v>
      </c>
      <c r="P521" s="56">
        <f t="shared" si="377"/>
        <v>0</v>
      </c>
      <c r="Q521" s="56">
        <f t="shared" si="377"/>
        <v>4747</v>
      </c>
      <c r="R521" s="56">
        <f t="shared" si="377"/>
        <v>0</v>
      </c>
      <c r="S521" s="56">
        <f t="shared" si="377"/>
        <v>88690</v>
      </c>
      <c r="T521" s="56">
        <f t="shared" si="377"/>
        <v>0</v>
      </c>
      <c r="U521" s="56">
        <f t="shared" si="377"/>
        <v>2.4746397556219997E-2</v>
      </c>
      <c r="V521" s="56">
        <f>+V259</f>
        <v>0</v>
      </c>
    </row>
    <row r="522" spans="3:25" x14ac:dyDescent="0.3">
      <c r="E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</row>
    <row r="523" spans="3:25" x14ac:dyDescent="0.3">
      <c r="E523" s="59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</row>
    <row r="524" spans="3:25" x14ac:dyDescent="0.3">
      <c r="C524" s="111"/>
      <c r="D524" s="112"/>
      <c r="E524" s="349"/>
      <c r="F524" s="10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</row>
    <row r="525" spans="3:25" x14ac:dyDescent="0.3">
      <c r="E525" s="56"/>
      <c r="K525" s="56"/>
      <c r="Q525" s="56"/>
    </row>
    <row r="526" spans="3:25" x14ac:dyDescent="0.3">
      <c r="D526" s="549" t="s">
        <v>26</v>
      </c>
      <c r="E526" t="s">
        <v>158</v>
      </c>
      <c r="K526" s="549"/>
      <c r="Q526" s="56"/>
      <c r="S526" s="59"/>
    </row>
    <row r="528" spans="3:25" x14ac:dyDescent="0.3">
      <c r="U528" s="549"/>
    </row>
    <row r="529" spans="3:41" x14ac:dyDescent="0.3">
      <c r="AO529" s="1">
        <v>3797000</v>
      </c>
    </row>
    <row r="530" spans="3:41" x14ac:dyDescent="0.3">
      <c r="C530" s="1"/>
    </row>
    <row r="531" spans="3:41" x14ac:dyDescent="0.3">
      <c r="C531" s="1"/>
      <c r="AO531" s="1">
        <v>30000</v>
      </c>
    </row>
    <row r="532" spans="3:41" x14ac:dyDescent="0.3">
      <c r="C532" s="59"/>
    </row>
    <row r="533" spans="3:41" x14ac:dyDescent="0.3">
      <c r="AO533" s="235">
        <f>+AO531/AO529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09"/>
  <sheetViews>
    <sheetView topLeftCell="A459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1.8343644612924415E-2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Table'!$H$508</f>
        <v>35121158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Table'!AA520</f>
        <v>616075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15828</v>
      </c>
      <c r="J22" s="116"/>
      <c r="K22" s="127"/>
      <c r="L22" s="238">
        <v>15724</v>
      </c>
      <c r="M22" s="127"/>
      <c r="N22" s="147">
        <f>+(I22-L22)/I22</f>
        <v>6.5706343189284814E-3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34489255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Table'!AP520</f>
        <v>29859062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4630193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29859062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34489255</v>
      </c>
      <c r="J27" s="116"/>
      <c r="K27" s="677">
        <v>34437590</v>
      </c>
      <c r="L27" s="677"/>
      <c r="M27" s="127"/>
      <c r="N27" s="137">
        <f>+I27-K27</f>
        <v>51665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0.96442894464502893</v>
      </c>
      <c r="J28" s="127"/>
      <c r="K28" s="127"/>
      <c r="L28" s="127"/>
      <c r="M28" s="98"/>
      <c r="N28" s="463">
        <f>+N27/K27</f>
        <v>1.5002501626856003E-3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Table'!H520</f>
        <v>35761323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34489255</v>
      </c>
      <c r="J34" s="680"/>
      <c r="K34" s="22"/>
      <c r="L34" s="25">
        <f>+I34/$I$32</f>
        <v>0.96442894464502893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616075</v>
      </c>
      <c r="J35" s="687"/>
      <c r="K35" s="22"/>
      <c r="L35" s="25">
        <f>+I35/$I$32</f>
        <v>1.7227410742046652E-2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655993</v>
      </c>
      <c r="J36" s="682"/>
      <c r="K36" s="259"/>
      <c r="L36" s="234">
        <f>+I36/$I$32</f>
        <v>1.8343644612924415E-2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Table'!AP538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Table'!AP579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1.8343644612924415E-2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1.8343644612924415E-2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1.8343644612924415E-2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1.8343644612924415E-2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ref="AA458" si="85">+W457-W458</f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" si="86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ref="AA460" si="87">+W459-W460</f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ref="AA461" si="88">+W460-W461</f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ref="AA462" si="89">+W461-W462</f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ref="AA463" si="90">+W462-W463</f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ref="AA464" si="91">+W463-W464</f>
        <v>15014</v>
      </c>
      <c r="AB464" s="6"/>
      <c r="AC464" s="258"/>
      <c r="AD464" s="251"/>
      <c r="AE464" s="61"/>
    </row>
    <row r="465" spans="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ref="AA465" si="92">+W464-W465</f>
        <v>-42927</v>
      </c>
      <c r="AB465" s="6"/>
      <c r="AC465" s="258"/>
      <c r="AD465" s="251"/>
      <c r="AE465" s="61"/>
    </row>
    <row r="466" spans="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ref="AA466" si="93">+W465-W466</f>
        <v>-69499</v>
      </c>
      <c r="AB466" s="6"/>
      <c r="AC466" s="258"/>
      <c r="AD466" s="251"/>
      <c r="AE466" s="61"/>
    </row>
    <row r="467" spans="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ref="AA467" si="94">+W466-W467</f>
        <v>-50957</v>
      </c>
      <c r="AB467" s="6"/>
      <c r="AC467" s="258"/>
      <c r="AD467" s="251"/>
      <c r="AE467" s="61"/>
    </row>
    <row r="468" spans="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ref="AA468" si="95">+W467-W468</f>
        <v>-36411</v>
      </c>
      <c r="AB468" s="6"/>
      <c r="AC468" s="258"/>
      <c r="AD468" s="251"/>
      <c r="AE468" s="61"/>
    </row>
    <row r="469" spans="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ref="AA469" si="96">+W468-W469</f>
        <v>-46193</v>
      </c>
      <c r="AB469" s="6"/>
      <c r="AC469" s="258"/>
      <c r="AD469" s="251"/>
      <c r="AE469" s="61"/>
    </row>
    <row r="470" spans="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ref="AA470" si="97">+W469-W470</f>
        <v>29129</v>
      </c>
      <c r="AB470" s="6"/>
      <c r="AC470" s="258"/>
      <c r="AD470" s="251"/>
      <c r="AE470" s="61"/>
    </row>
    <row r="471" spans="5:31" x14ac:dyDescent="0.3">
      <c r="O471" s="98"/>
      <c r="T471" s="250"/>
      <c r="U471" s="573">
        <f t="shared" si="21"/>
        <v>44416</v>
      </c>
      <c r="V471" s="6"/>
      <c r="W471" s="253">
        <f>+I$36</f>
        <v>655993</v>
      </c>
      <c r="X471" s="6"/>
      <c r="Y471" s="44">
        <v>3.0000000000000001E-3</v>
      </c>
      <c r="Z471" s="6"/>
      <c r="AA471" s="254">
        <f t="shared" ref="AA471" si="98">+W470-W471</f>
        <v>27404</v>
      </c>
      <c r="AB471" s="6"/>
      <c r="AC471" s="258"/>
      <c r="AD471" s="251"/>
      <c r="AE471" s="61"/>
    </row>
    <row r="472" spans="5:31" x14ac:dyDescent="0.3">
      <c r="O472" s="98"/>
      <c r="T472" s="250"/>
      <c r="U472" s="252">
        <f t="shared" si="21"/>
        <v>44417</v>
      </c>
      <c r="V472" s="6"/>
      <c r="W472" s="253"/>
      <c r="X472" s="6"/>
      <c r="Y472" s="44"/>
      <c r="Z472" s="6"/>
      <c r="AA472" s="254"/>
      <c r="AB472" s="6"/>
      <c r="AC472" s="258"/>
      <c r="AD472" s="251"/>
    </row>
    <row r="473" spans="5:31" ht="15" thickBot="1" x14ac:dyDescent="0.35">
      <c r="O473" s="98"/>
      <c r="T473" s="255"/>
      <c r="U473" s="350">
        <f t="shared" si="21"/>
        <v>44418</v>
      </c>
      <c r="V473" s="247"/>
      <c r="W473" s="351"/>
      <c r="X473" s="247"/>
      <c r="Y473" s="256"/>
      <c r="Z473" s="247"/>
      <c r="AA473" s="352"/>
      <c r="AB473" s="247"/>
      <c r="AC473" s="353"/>
      <c r="AD473" s="257"/>
    </row>
    <row r="474" spans="5:31" x14ac:dyDescent="0.3">
      <c r="O474" s="98"/>
    </row>
    <row r="475" spans="5:31" x14ac:dyDescent="0.3">
      <c r="O475" s="98"/>
      <c r="P475" s="57"/>
      <c r="Q475" s="57"/>
      <c r="R475" s="57"/>
    </row>
    <row r="476" spans="5:31" x14ac:dyDescent="0.3">
      <c r="O476" s="98"/>
    </row>
    <row r="477" spans="5:31" ht="15" thickBot="1" x14ac:dyDescent="0.35">
      <c r="O477" s="98"/>
    </row>
    <row r="478" spans="5:31" ht="15.6" thickTop="1" thickBot="1" x14ac:dyDescent="0.35">
      <c r="Q478" s="441"/>
      <c r="R478" s="442"/>
      <c r="S478" s="442"/>
      <c r="T478" s="442"/>
      <c r="U478" s="442"/>
      <c r="V478" s="442"/>
      <c r="W478" s="442"/>
      <c r="X478" s="442"/>
      <c r="Y478" s="442"/>
      <c r="Z478" s="442"/>
      <c r="AA478" s="442"/>
      <c r="AB478" s="443"/>
    </row>
    <row r="479" spans="5:31" ht="15" thickBot="1" x14ac:dyDescent="0.35">
      <c r="E479" s="704" t="s">
        <v>106</v>
      </c>
      <c r="F479" s="705"/>
      <c r="G479" s="705"/>
      <c r="H479" s="705"/>
      <c r="I479" s="705"/>
      <c r="J479" s="705"/>
      <c r="K479" s="705"/>
      <c r="L479" s="705"/>
      <c r="M479" s="706"/>
      <c r="Q479" s="444"/>
      <c r="R479" s="6"/>
      <c r="S479" s="6"/>
      <c r="T479" s="6"/>
      <c r="U479" s="5" t="s">
        <v>132</v>
      </c>
      <c r="V479" s="5"/>
      <c r="W479" s="5"/>
      <c r="X479" s="5"/>
      <c r="Y479" s="5"/>
      <c r="Z479" s="5"/>
      <c r="AA479" s="5" t="s">
        <v>28</v>
      </c>
      <c r="AB479" s="445"/>
    </row>
    <row r="480" spans="5:31" x14ac:dyDescent="0.3">
      <c r="E480" s="395"/>
      <c r="F480" s="396" t="s">
        <v>107</v>
      </c>
      <c r="G480" s="396"/>
      <c r="H480" s="396"/>
      <c r="I480" s="707">
        <v>21477737</v>
      </c>
      <c r="J480" s="707"/>
      <c r="K480" s="707"/>
      <c r="L480" s="707"/>
      <c r="M480" s="397"/>
      <c r="Q480" s="444"/>
      <c r="R480" s="437" t="s">
        <v>134</v>
      </c>
      <c r="S480" s="6"/>
      <c r="T480" s="6"/>
      <c r="U480" s="437" t="s">
        <v>133</v>
      </c>
      <c r="V480" s="5"/>
      <c r="W480" s="437" t="s">
        <v>20</v>
      </c>
      <c r="X480" s="5"/>
      <c r="Y480" s="437" t="s">
        <v>4</v>
      </c>
      <c r="Z480" s="5"/>
      <c r="AA480" s="446" t="s">
        <v>131</v>
      </c>
      <c r="AB480" s="445"/>
    </row>
    <row r="481" spans="4:36" x14ac:dyDescent="0.3">
      <c r="E481" s="395"/>
      <c r="F481" s="396" t="s">
        <v>97</v>
      </c>
      <c r="G481" s="396"/>
      <c r="H481" s="396"/>
      <c r="I481" s="396"/>
      <c r="J481" s="396"/>
      <c r="K481" s="396"/>
      <c r="L481" s="398">
        <f>+I493/I480</f>
        <v>4.5847474526762295E-4</v>
      </c>
      <c r="M481" s="397"/>
      <c r="Q481" s="444"/>
      <c r="R481" s="6" t="s">
        <v>121</v>
      </c>
      <c r="S481" s="6"/>
      <c r="T481" s="6"/>
      <c r="U481" s="7">
        <v>2003</v>
      </c>
      <c r="V481" s="6"/>
      <c r="W481" s="7">
        <v>389666</v>
      </c>
      <c r="X481" s="6"/>
      <c r="Y481" s="7">
        <v>31257</v>
      </c>
      <c r="Z481" s="6"/>
      <c r="AA481" s="253">
        <f>+AJ481</f>
        <v>19500</v>
      </c>
      <c r="AB481" s="445"/>
      <c r="AJ481" s="1">
        <v>19500</v>
      </c>
    </row>
    <row r="482" spans="4:36" x14ac:dyDescent="0.3">
      <c r="E482" s="395"/>
      <c r="F482" s="708" t="s">
        <v>95</v>
      </c>
      <c r="G482" s="708"/>
      <c r="H482" s="396"/>
      <c r="I482" s="396"/>
      <c r="J482" s="396"/>
      <c r="K482" s="396"/>
      <c r="L482" s="399">
        <f>+I493/(I480/100000)</f>
        <v>45.847474526762298</v>
      </c>
      <c r="M482" s="397"/>
      <c r="Q482" s="444"/>
      <c r="R482" s="6" t="s">
        <v>122</v>
      </c>
      <c r="S482" s="6"/>
      <c r="T482" s="6"/>
      <c r="U482" s="7">
        <v>1913</v>
      </c>
      <c r="V482" s="6"/>
      <c r="W482" s="7">
        <v>169892</v>
      </c>
      <c r="X482" s="6"/>
      <c r="Y482" s="7">
        <v>13076</v>
      </c>
      <c r="Z482" s="6"/>
      <c r="AA482" s="253">
        <f t="shared" ref="AA482:AA490" si="99">+AJ482</f>
        <v>8900</v>
      </c>
      <c r="AB482" s="445"/>
      <c r="AJ482" s="1">
        <v>8900</v>
      </c>
    </row>
    <row r="483" spans="4:36" x14ac:dyDescent="0.3">
      <c r="E483" s="395"/>
      <c r="F483" s="400"/>
      <c r="G483" s="400"/>
      <c r="H483" s="396"/>
      <c r="I483" s="396"/>
      <c r="J483" s="396"/>
      <c r="K483" s="396"/>
      <c r="L483" s="399"/>
      <c r="M483" s="397"/>
      <c r="Q483" s="444"/>
      <c r="R483" s="6" t="s">
        <v>123</v>
      </c>
      <c r="S483" s="6"/>
      <c r="T483" s="6"/>
      <c r="U483" s="7">
        <v>1568</v>
      </c>
      <c r="V483" s="6"/>
      <c r="W483" s="7">
        <v>16606</v>
      </c>
      <c r="X483" s="6"/>
      <c r="Y483" s="7">
        <v>912</v>
      </c>
      <c r="Z483" s="6"/>
      <c r="AA483" s="253">
        <f t="shared" si="99"/>
        <v>1100</v>
      </c>
      <c r="AB483" s="445"/>
      <c r="AJ483" s="1">
        <v>1100</v>
      </c>
    </row>
    <row r="484" spans="4:36" x14ac:dyDescent="0.3">
      <c r="E484" s="395"/>
      <c r="F484" s="400" t="s">
        <v>108</v>
      </c>
      <c r="G484" s="400"/>
      <c r="H484" s="708" t="s">
        <v>109</v>
      </c>
      <c r="I484" s="708"/>
      <c r="J484" s="396"/>
      <c r="K484" s="396"/>
      <c r="L484" s="399"/>
      <c r="M484" s="397"/>
      <c r="Q484" s="444"/>
      <c r="R484" s="6" t="s">
        <v>56</v>
      </c>
      <c r="S484" s="6"/>
      <c r="T484" s="6"/>
      <c r="U484" s="7">
        <v>1561</v>
      </c>
      <c r="V484" s="6"/>
      <c r="W484" s="7">
        <v>107611</v>
      </c>
      <c r="X484" s="6"/>
      <c r="Y484" s="7">
        <v>7937</v>
      </c>
      <c r="Z484" s="6"/>
      <c r="AA484" s="253">
        <f t="shared" si="99"/>
        <v>7000</v>
      </c>
      <c r="AB484" s="445"/>
      <c r="AJ484" s="1">
        <v>7000</v>
      </c>
    </row>
    <row r="485" spans="4:36" ht="15" thickBot="1" x14ac:dyDescent="0.35">
      <c r="E485" s="401"/>
      <c r="F485" s="402"/>
      <c r="G485" s="402"/>
      <c r="H485" s="402"/>
      <c r="I485" s="402"/>
      <c r="J485" s="402"/>
      <c r="K485" s="402"/>
      <c r="L485" s="402"/>
      <c r="M485" s="403"/>
      <c r="Q485" s="444"/>
      <c r="R485" s="6" t="s">
        <v>128</v>
      </c>
      <c r="S485" s="6"/>
      <c r="T485" s="6"/>
      <c r="U485" s="7">
        <v>1435</v>
      </c>
      <c r="V485" s="6"/>
      <c r="W485" s="7">
        <v>10128</v>
      </c>
      <c r="X485" s="6"/>
      <c r="Y485" s="7">
        <v>541</v>
      </c>
      <c r="Z485" s="6"/>
      <c r="AA485" s="253">
        <f t="shared" si="99"/>
        <v>700</v>
      </c>
      <c r="AB485" s="445"/>
      <c r="AJ485" s="1">
        <v>700</v>
      </c>
    </row>
    <row r="486" spans="4:36" x14ac:dyDescent="0.3">
      <c r="Q486" s="444"/>
      <c r="R486" s="6" t="s">
        <v>124</v>
      </c>
      <c r="S486" s="6"/>
      <c r="T486" s="6"/>
      <c r="U486" s="7">
        <v>1288</v>
      </c>
      <c r="V486" s="6"/>
      <c r="W486" s="7">
        <v>45913</v>
      </c>
      <c r="X486" s="6"/>
      <c r="Y486" s="7">
        <v>4287</v>
      </c>
      <c r="Z486" s="6"/>
      <c r="AA486" s="253">
        <f t="shared" si="99"/>
        <v>3600</v>
      </c>
      <c r="AB486" s="445"/>
      <c r="AJ486" s="1">
        <v>3600</v>
      </c>
    </row>
    <row r="487" spans="4:36" ht="15" thickBot="1" x14ac:dyDescent="0.35">
      <c r="D487" s="78"/>
      <c r="E487" s="139"/>
      <c r="F487" s="139"/>
      <c r="G487" s="139"/>
      <c r="H487" s="139"/>
      <c r="I487" s="310"/>
      <c r="J487" s="78"/>
      <c r="K487" s="98"/>
      <c r="L487" s="98"/>
      <c r="M487" s="98"/>
      <c r="N487" s="98"/>
      <c r="Q487" s="444"/>
      <c r="R487" s="6" t="s">
        <v>129</v>
      </c>
      <c r="S487" s="6"/>
      <c r="T487" s="6"/>
      <c r="U487" s="7">
        <v>1129</v>
      </c>
      <c r="V487" s="6"/>
      <c r="W487" s="7">
        <v>52477</v>
      </c>
      <c r="X487" s="6"/>
      <c r="Y487" s="7">
        <v>3152</v>
      </c>
      <c r="Z487" s="6"/>
      <c r="AA487" s="253">
        <f t="shared" si="99"/>
        <v>4600</v>
      </c>
      <c r="AB487" s="445"/>
      <c r="AJ487" s="1">
        <v>4600</v>
      </c>
    </row>
    <row r="488" spans="4:36" ht="16.2" thickBot="1" x14ac:dyDescent="0.35">
      <c r="D488" s="381"/>
      <c r="E488" s="709" t="s">
        <v>119</v>
      </c>
      <c r="F488" s="710"/>
      <c r="G488" s="710"/>
      <c r="H488" s="710"/>
      <c r="I488" s="710"/>
      <c r="J488" s="711"/>
      <c r="K488" s="382"/>
      <c r="L488" s="394" t="s">
        <v>10</v>
      </c>
      <c r="M488" s="383"/>
      <c r="N488" s="98"/>
      <c r="Q488" s="444"/>
      <c r="R488" s="6" t="s">
        <v>125</v>
      </c>
      <c r="S488" s="6"/>
      <c r="T488" s="6"/>
      <c r="U488" s="7">
        <v>1118</v>
      </c>
      <c r="V488" s="6"/>
      <c r="W488" s="7">
        <v>10889</v>
      </c>
      <c r="X488" s="6"/>
      <c r="Y488" s="7">
        <v>505</v>
      </c>
      <c r="Z488" s="6"/>
      <c r="AA488" s="253">
        <f t="shared" si="99"/>
        <v>980</v>
      </c>
      <c r="AB488" s="445"/>
      <c r="AJ488" s="1">
        <v>980</v>
      </c>
    </row>
    <row r="489" spans="4:36" x14ac:dyDescent="0.3">
      <c r="D489" s="360"/>
      <c r="E489" s="384" t="s">
        <v>75</v>
      </c>
      <c r="F489" s="16"/>
      <c r="G489" s="16"/>
      <c r="H489" s="16"/>
      <c r="I489" s="712">
        <f>+K81</f>
        <v>48675</v>
      </c>
      <c r="J489" s="712"/>
      <c r="K489" s="16"/>
      <c r="L489" s="60">
        <f>+I489/$I$489</f>
        <v>1</v>
      </c>
      <c r="M489" s="385"/>
      <c r="N489" s="98"/>
      <c r="Q489" s="444"/>
      <c r="R489" s="6" t="s">
        <v>126</v>
      </c>
      <c r="S489" s="6"/>
      <c r="T489" s="6"/>
      <c r="U489" s="7">
        <v>1093</v>
      </c>
      <c r="V489" s="6"/>
      <c r="W489" s="7">
        <v>138546</v>
      </c>
      <c r="X489" s="6"/>
      <c r="Y489" s="7">
        <v>6770</v>
      </c>
      <c r="Z489" s="6"/>
      <c r="AA489" s="253">
        <f t="shared" si="99"/>
        <v>12700</v>
      </c>
      <c r="AB489" s="445"/>
      <c r="AJ489" s="1">
        <v>12700</v>
      </c>
    </row>
    <row r="490" spans="4:36" x14ac:dyDescent="0.3">
      <c r="D490" s="360"/>
      <c r="E490" s="384"/>
      <c r="F490" s="16"/>
      <c r="G490" s="16"/>
      <c r="H490" s="16"/>
      <c r="I490" s="16"/>
      <c r="J490" s="16"/>
      <c r="K490" s="16"/>
      <c r="L490" s="16"/>
      <c r="M490" s="385"/>
      <c r="N490" s="98"/>
      <c r="Q490" s="444"/>
      <c r="R490" s="6" t="s">
        <v>127</v>
      </c>
      <c r="S490" s="6"/>
      <c r="T490" s="6"/>
      <c r="U490" s="447">
        <v>1081</v>
      </c>
      <c r="V490" s="6"/>
      <c r="W490" s="447">
        <v>65337</v>
      </c>
      <c r="X490" s="6"/>
      <c r="Y490" s="447">
        <v>3108</v>
      </c>
      <c r="Z490" s="6"/>
      <c r="AA490" s="448">
        <f t="shared" si="99"/>
        <v>6100</v>
      </c>
      <c r="AB490" s="445"/>
      <c r="AJ490" s="439">
        <v>6100</v>
      </c>
    </row>
    <row r="491" spans="4:36" x14ac:dyDescent="0.3">
      <c r="D491" s="372"/>
      <c r="E491" s="15"/>
      <c r="F491" s="386" t="s">
        <v>100</v>
      </c>
      <c r="G491" s="386"/>
      <c r="H491" s="15"/>
      <c r="I491" s="713">
        <f>+I81</f>
        <v>36684</v>
      </c>
      <c r="J491" s="714"/>
      <c r="K491" s="15"/>
      <c r="L491" s="60">
        <f>+I491/$I$489</f>
        <v>0.75365177195685673</v>
      </c>
      <c r="M491" s="365"/>
      <c r="N491" s="98"/>
      <c r="Q491" s="444"/>
      <c r="R491" s="5" t="s">
        <v>31</v>
      </c>
      <c r="S491" s="6"/>
      <c r="T491" s="6"/>
      <c r="U491" s="253">
        <f>+W491/(AA491/100)</f>
        <v>1545.0521632402579</v>
      </c>
      <c r="V491" s="6"/>
      <c r="W491" s="253">
        <f>SUM(W481:W490)</f>
        <v>1007065</v>
      </c>
      <c r="X491" s="6"/>
      <c r="Y491" s="253">
        <f>SUM(Y481:Y490)</f>
        <v>71545</v>
      </c>
      <c r="Z491" s="6"/>
      <c r="AA491" s="253">
        <f>SUM(AA481:AA490)</f>
        <v>65180</v>
      </c>
      <c r="AB491" s="445"/>
      <c r="AJ491" s="56">
        <f>SUM(AJ481:AJ490)</f>
        <v>65180</v>
      </c>
    </row>
    <row r="492" spans="4:36" x14ac:dyDescent="0.3">
      <c r="D492" s="372"/>
      <c r="E492" s="15"/>
      <c r="F492" s="15" t="s">
        <v>76</v>
      </c>
      <c r="G492" s="15"/>
      <c r="H492" s="15"/>
      <c r="I492" s="715">
        <f>+I75</f>
        <v>2144</v>
      </c>
      <c r="J492" s="716"/>
      <c r="K492" s="15"/>
      <c r="L492" s="60">
        <f>+I492/$I$489</f>
        <v>4.4047252182845401E-2</v>
      </c>
      <c r="M492" s="365"/>
      <c r="N492" s="98"/>
      <c r="Q492" s="444"/>
      <c r="R492" s="5"/>
      <c r="S492" s="6"/>
      <c r="T492" s="6"/>
      <c r="U492" s="6"/>
      <c r="V492" s="6"/>
      <c r="W492" s="253"/>
      <c r="X492" s="6"/>
      <c r="Y492" s="253"/>
      <c r="Z492" s="6"/>
      <c r="AA492" s="6"/>
      <c r="AB492" s="445"/>
      <c r="AJ492" s="56"/>
    </row>
    <row r="493" spans="4:36" ht="15" thickBot="1" x14ac:dyDescent="0.35">
      <c r="D493" s="372"/>
      <c r="E493" s="701" t="s">
        <v>101</v>
      </c>
      <c r="F493" s="701"/>
      <c r="G493" s="701"/>
      <c r="H493" s="15"/>
      <c r="I493" s="702">
        <f>+I489-I491-I492</f>
        <v>9847</v>
      </c>
      <c r="J493" s="703"/>
      <c r="K493" s="387"/>
      <c r="L493" s="388">
        <f>+I493/$I$489</f>
        <v>0.20230097586029788</v>
      </c>
      <c r="M493" s="365"/>
      <c r="N493" s="98"/>
      <c r="Q493" s="444"/>
      <c r="R493" s="5" t="s">
        <v>57</v>
      </c>
      <c r="S493" s="6"/>
      <c r="T493" s="6"/>
      <c r="U493" s="7">
        <v>7441</v>
      </c>
      <c r="V493" s="6"/>
      <c r="W493" s="7">
        <f>+'Main Table'!H106</f>
        <v>3029734</v>
      </c>
      <c r="X493" s="6"/>
      <c r="Y493" s="7">
        <f>+'Main Table'!AA106</f>
        <v>129682</v>
      </c>
      <c r="Z493" s="6"/>
      <c r="AA493" s="253">
        <f>+AJ493</f>
        <v>333000</v>
      </c>
      <c r="AB493" s="445"/>
      <c r="AJ493" s="56">
        <v>333000</v>
      </c>
    </row>
    <row r="494" spans="4:36" ht="15.6" thickTop="1" thickBot="1" x14ac:dyDescent="0.35">
      <c r="D494" s="372"/>
      <c r="E494" s="389"/>
      <c r="F494" s="389"/>
      <c r="G494" s="389"/>
      <c r="H494" s="15"/>
      <c r="I494" s="390"/>
      <c r="J494" s="389"/>
      <c r="K494" s="387"/>
      <c r="L494" s="391"/>
      <c r="M494" s="365"/>
      <c r="N494" s="98"/>
      <c r="Q494" s="444"/>
      <c r="R494" s="5" t="s">
        <v>130</v>
      </c>
      <c r="S494" s="6"/>
      <c r="T494" s="6"/>
      <c r="U494" s="449"/>
      <c r="V494" s="6"/>
      <c r="W494" s="450">
        <f>+W491/W493</f>
        <v>0.33239386692033029</v>
      </c>
      <c r="X494" s="6"/>
      <c r="Y494" s="450">
        <f>+Y491/Y493</f>
        <v>0.55169568637127742</v>
      </c>
      <c r="Z494" s="6"/>
      <c r="AA494" s="450">
        <f>+AA491/AA493</f>
        <v>0.19573573573573574</v>
      </c>
      <c r="AB494" s="445"/>
      <c r="AJ494" s="440">
        <f>+AJ491/AJ493</f>
        <v>0.19573573573573574</v>
      </c>
    </row>
    <row r="495" spans="4:36" ht="15.6" thickTop="1" thickBot="1" x14ac:dyDescent="0.35">
      <c r="D495" s="392"/>
      <c r="E495" s="393"/>
      <c r="F495" s="393"/>
      <c r="G495" s="393"/>
      <c r="H495" s="393"/>
      <c r="I495" s="393"/>
      <c r="J495" s="393"/>
      <c r="K495" s="393"/>
      <c r="L495" s="393"/>
      <c r="M495" s="380"/>
      <c r="N495" s="98"/>
      <c r="Q495" s="451"/>
      <c r="R495" s="452"/>
      <c r="S495" s="452"/>
      <c r="T495" s="452"/>
      <c r="U495" s="452"/>
      <c r="V495" s="452"/>
      <c r="W495" s="452"/>
      <c r="X495" s="452"/>
      <c r="Y495" s="452"/>
      <c r="Z495" s="452"/>
      <c r="AA495" s="452"/>
      <c r="AB495" s="453"/>
    </row>
    <row r="499" spans="6:23" x14ac:dyDescent="0.3">
      <c r="F499" s="1">
        <v>1248371</v>
      </c>
    </row>
    <row r="500" spans="6:23" x14ac:dyDescent="0.3">
      <c r="W500" s="1"/>
    </row>
    <row r="501" spans="6:23" x14ac:dyDescent="0.3">
      <c r="F501">
        <v>700</v>
      </c>
    </row>
    <row r="502" spans="6:23" x14ac:dyDescent="0.3">
      <c r="F502" s="76">
        <f>+F501/F499</f>
        <v>5.6073074430597954E-4</v>
      </c>
    </row>
    <row r="504" spans="6:23" x14ac:dyDescent="0.3">
      <c r="F504" s="1">
        <v>60000</v>
      </c>
    </row>
    <row r="505" spans="6:23" x14ac:dyDescent="0.3">
      <c r="F505">
        <f>+F502*F504</f>
        <v>33.643844658358773</v>
      </c>
    </row>
    <row r="507" spans="6:23" x14ac:dyDescent="0.3">
      <c r="F507" s="1">
        <v>331000000</v>
      </c>
    </row>
    <row r="508" spans="6:23" x14ac:dyDescent="0.3">
      <c r="F508" s="56">
        <f>+W86</f>
        <v>811067</v>
      </c>
    </row>
    <row r="509" spans="6:23" x14ac:dyDescent="0.3">
      <c r="F509" s="57">
        <f>+F508/F507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93:G493"/>
    <mergeCell ref="I493:J493"/>
    <mergeCell ref="E479:M479"/>
    <mergeCell ref="I480:L480"/>
    <mergeCell ref="F482:G482"/>
    <mergeCell ref="E488:J488"/>
    <mergeCell ref="I489:J489"/>
    <mergeCell ref="I491:J491"/>
    <mergeCell ref="I492:J492"/>
    <mergeCell ref="H484:I484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2021-08-09T23:44:44Z</dcterms:modified>
</cp:coreProperties>
</file>