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AD72EED8-B9DA-4137-8EAD-73A72B76D50F}" xr6:coauthVersionLast="47" xr6:coauthVersionMax="47" xr10:uidLastSave="{00000000-0000-0000-0000-000000000000}"/>
  <bookViews>
    <workbookView xWindow="-98" yWindow="-98" windowWidth="28996" windowHeight="157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Table'!$A$1:$CJ$917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916" i="1" l="1"/>
  <c r="BK916" i="1"/>
  <c r="BJ916" i="1"/>
  <c r="BF916" i="1"/>
  <c r="BD916" i="1"/>
  <c r="BB916" i="1"/>
  <c r="AU916" i="1"/>
  <c r="AT916" i="1"/>
  <c r="AN916" i="1"/>
  <c r="AM916" i="1"/>
  <c r="AH916" i="1"/>
  <c r="AF916" i="1"/>
  <c r="AD916" i="1"/>
  <c r="X916" i="1"/>
  <c r="W916" i="1"/>
  <c r="V916" i="1"/>
  <c r="R916" i="1"/>
  <c r="P916" i="1"/>
  <c r="BQ915" i="1"/>
  <c r="BQ916" i="1" s="1"/>
  <c r="BO915" i="1"/>
  <c r="BO916" i="1" s="1"/>
  <c r="BM915" i="1"/>
  <c r="BM916" i="1" s="1"/>
  <c r="BL915" i="1"/>
  <c r="BK915" i="1"/>
  <c r="BJ915" i="1"/>
  <c r="BI915" i="1"/>
  <c r="BI916" i="1" s="1"/>
  <c r="BH915" i="1"/>
  <c r="BH916" i="1" s="1"/>
  <c r="BF915" i="1"/>
  <c r="BE915" i="1"/>
  <c r="BE916" i="1" s="1"/>
  <c r="BD915" i="1"/>
  <c r="BC915" i="1"/>
  <c r="BC916" i="1" s="1"/>
  <c r="BB915" i="1"/>
  <c r="AZ915" i="1"/>
  <c r="AZ916" i="1" s="1"/>
  <c r="AY915" i="1"/>
  <c r="AY916" i="1" s="1"/>
  <c r="AW915" i="1"/>
  <c r="AW916" i="1" s="1"/>
  <c r="AU915" i="1"/>
  <c r="AT915" i="1"/>
  <c r="AS915" i="1"/>
  <c r="AS916" i="1" s="1"/>
  <c r="AR915" i="1"/>
  <c r="AR916" i="1" s="1"/>
  <c r="AQ915" i="1"/>
  <c r="AQ916" i="1" s="1"/>
  <c r="AP915" i="1"/>
  <c r="AP916" i="1" s="1"/>
  <c r="AO915" i="1"/>
  <c r="AO916" i="1" s="1"/>
  <c r="AN915" i="1"/>
  <c r="AM915" i="1"/>
  <c r="AL915" i="1"/>
  <c r="AL916" i="1" s="1"/>
  <c r="AK915" i="1"/>
  <c r="AK916" i="1" s="1"/>
  <c r="AJ915" i="1"/>
  <c r="AJ916" i="1" s="1"/>
  <c r="AI915" i="1"/>
  <c r="AI916" i="1" s="1"/>
  <c r="AH915" i="1"/>
  <c r="AG915" i="1"/>
  <c r="AG916" i="1" s="1"/>
  <c r="AF915" i="1"/>
  <c r="AD915" i="1"/>
  <c r="AB915" i="1"/>
  <c r="AB916" i="1" s="1"/>
  <c r="Y915" i="1"/>
  <c r="Y916" i="1" s="1"/>
  <c r="X915" i="1"/>
  <c r="W915" i="1"/>
  <c r="V915" i="1"/>
  <c r="U915" i="1"/>
  <c r="U916" i="1" s="1"/>
  <c r="T915" i="1"/>
  <c r="T916" i="1" s="1"/>
  <c r="R915" i="1"/>
  <c r="Q915" i="1"/>
  <c r="Q916" i="1" s="1"/>
  <c r="P915" i="1"/>
  <c r="M915" i="1"/>
  <c r="M916" i="1" s="1"/>
  <c r="L915" i="1"/>
  <c r="L916" i="1" s="1"/>
  <c r="K915" i="1"/>
  <c r="K916" i="1" s="1"/>
  <c r="I915" i="1"/>
  <c r="I916" i="1" s="1"/>
  <c r="H915" i="1"/>
  <c r="H916" i="1" s="1"/>
  <c r="D915" i="1"/>
  <c r="D916" i="1" s="1"/>
  <c r="BW908" i="1"/>
  <c r="BP908" i="1"/>
  <c r="BR908" i="1" s="1"/>
  <c r="BR915" i="1" s="1"/>
  <c r="BR916" i="1" s="1"/>
  <c r="BN908" i="1"/>
  <c r="BN915" i="1" s="1"/>
  <c r="BN916" i="1" s="1"/>
  <c r="BE908" i="1"/>
  <c r="BA908" i="1"/>
  <c r="BG908" i="1" s="1"/>
  <c r="BG915" i="1" s="1"/>
  <c r="BG916" i="1" s="1"/>
  <c r="AX908" i="1"/>
  <c r="AX915" i="1" s="1"/>
  <c r="AX916" i="1" s="1"/>
  <c r="AL908" i="1"/>
  <c r="AR908" i="1" s="1"/>
  <c r="AA908" i="1"/>
  <c r="AE908" i="1" s="1"/>
  <c r="AE915" i="1" s="1"/>
  <c r="AE916" i="1" s="1"/>
  <c r="Z908" i="1"/>
  <c r="Z915" i="1" s="1"/>
  <c r="Z916" i="1" s="1"/>
  <c r="V908" i="1"/>
  <c r="Q908" i="1"/>
  <c r="S908" i="1" s="1"/>
  <c r="S915" i="1" s="1"/>
  <c r="S916" i="1" s="1"/>
  <c r="O908" i="1"/>
  <c r="O915" i="1" s="1"/>
  <c r="O916" i="1" s="1"/>
  <c r="N908" i="1"/>
  <c r="N915" i="1" s="1"/>
  <c r="N916" i="1" s="1"/>
  <c r="J908" i="1"/>
  <c r="J915" i="1" s="1"/>
  <c r="J916" i="1" s="1"/>
  <c r="H908" i="1"/>
  <c r="AV908" i="1" s="1"/>
  <c r="AV915" i="1" s="1"/>
  <c r="AV916" i="1" s="1"/>
  <c r="I20" i="3"/>
  <c r="U864" i="3"/>
  <c r="U865" i="3" s="1"/>
  <c r="U866" i="3" s="1"/>
  <c r="U867" i="3" s="1"/>
  <c r="U868" i="3" s="1"/>
  <c r="B908" i="1"/>
  <c r="B909" i="1" s="1"/>
  <c r="B910" i="1" s="1"/>
  <c r="B911" i="1" s="1"/>
  <c r="B912" i="1" s="1"/>
  <c r="BE907" i="1"/>
  <c r="BA907" i="1"/>
  <c r="AL907" i="1"/>
  <c r="Z907" i="1"/>
  <c r="Q907" i="1"/>
  <c r="N907" i="1"/>
  <c r="BE906" i="1"/>
  <c r="BA906" i="1"/>
  <c r="BG906" i="1" s="1"/>
  <c r="AL906" i="1"/>
  <c r="AR906" i="1" s="1"/>
  <c r="Z906" i="1"/>
  <c r="Q906" i="1"/>
  <c r="N906" i="1"/>
  <c r="BE905" i="1"/>
  <c r="BA905" i="1"/>
  <c r="AL905" i="1"/>
  <c r="AR905" i="1" s="1"/>
  <c r="Z905" i="1"/>
  <c r="Q905" i="1"/>
  <c r="N905" i="1"/>
  <c r="BC903" i="1"/>
  <c r="BE904" i="1"/>
  <c r="BA904" i="1"/>
  <c r="AL904" i="1"/>
  <c r="Z904" i="1"/>
  <c r="Q904" i="1"/>
  <c r="N904" i="1"/>
  <c r="BE903" i="1"/>
  <c r="BA903" i="1"/>
  <c r="AL903" i="1"/>
  <c r="AR903" i="1" s="1"/>
  <c r="Z903" i="1"/>
  <c r="Q903" i="1"/>
  <c r="N903" i="1"/>
  <c r="BE902" i="1"/>
  <c r="BA902" i="1"/>
  <c r="AL902" i="1"/>
  <c r="AR902" i="1" s="1"/>
  <c r="Z902" i="1"/>
  <c r="Q902" i="1"/>
  <c r="N902" i="1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E915" i="2"/>
  <c r="S909" i="2"/>
  <c r="W909" i="2"/>
  <c r="K909" i="2"/>
  <c r="M909" i="2" s="1"/>
  <c r="W908" i="2"/>
  <c r="S908" i="2"/>
  <c r="K908" i="2"/>
  <c r="M908" i="2" s="1"/>
  <c r="W907" i="2"/>
  <c r="S907" i="2"/>
  <c r="K907" i="2"/>
  <c r="Q907" i="2" s="1"/>
  <c r="S906" i="2"/>
  <c r="W906" i="2"/>
  <c r="K906" i="2"/>
  <c r="Q906" i="2" s="1"/>
  <c r="S905" i="2"/>
  <c r="W905" i="2"/>
  <c r="K905" i="2"/>
  <c r="Q905" i="2" s="1"/>
  <c r="C906" i="2"/>
  <c r="C907" i="2" s="1"/>
  <c r="C908" i="2" s="1"/>
  <c r="C909" i="2" s="1"/>
  <c r="C910" i="2" s="1"/>
  <c r="C911" i="2" s="1"/>
  <c r="C912" i="2" s="1"/>
  <c r="S904" i="2"/>
  <c r="K904" i="2"/>
  <c r="Q904" i="2" s="1"/>
  <c r="S903" i="2"/>
  <c r="K903" i="2"/>
  <c r="BA915" i="1" l="1"/>
  <c r="BA916" i="1" s="1"/>
  <c r="AA915" i="1"/>
  <c r="AA916" i="1" s="1"/>
  <c r="BP915" i="1"/>
  <c r="BP916" i="1" s="1"/>
  <c r="AC908" i="1"/>
  <c r="AC915" i="1" s="1"/>
  <c r="AC916" i="1" s="1"/>
  <c r="AR907" i="1"/>
  <c r="BG907" i="1"/>
  <c r="BG905" i="1"/>
  <c r="AR904" i="1"/>
  <c r="BG904" i="1"/>
  <c r="BG903" i="1"/>
  <c r="BG902" i="1"/>
  <c r="Q909" i="2"/>
  <c r="Q908" i="2"/>
  <c r="M907" i="2"/>
  <c r="M906" i="2"/>
  <c r="M905" i="2"/>
  <c r="M904" i="2"/>
  <c r="BE901" i="1" l="1"/>
  <c r="BA901" i="1"/>
  <c r="AL901" i="1"/>
  <c r="AR901" i="1" s="1"/>
  <c r="Z901" i="1"/>
  <c r="Q901" i="1"/>
  <c r="N901" i="1"/>
  <c r="BE900" i="1"/>
  <c r="BA900" i="1"/>
  <c r="AL900" i="1"/>
  <c r="AR900" i="1" s="1"/>
  <c r="Z900" i="1"/>
  <c r="Q900" i="1"/>
  <c r="S907" i="1" s="1"/>
  <c r="N900" i="1"/>
  <c r="BE899" i="1"/>
  <c r="BA899" i="1"/>
  <c r="AL899" i="1"/>
  <c r="AR899" i="1" s="1"/>
  <c r="Z899" i="1"/>
  <c r="Q899" i="1"/>
  <c r="S906" i="1" s="1"/>
  <c r="N899" i="1"/>
  <c r="BE898" i="1"/>
  <c r="BA898" i="1"/>
  <c r="AL898" i="1"/>
  <c r="AR898" i="1" s="1"/>
  <c r="Z898" i="1"/>
  <c r="Q898" i="1"/>
  <c r="S905" i="1" s="1"/>
  <c r="N898" i="1"/>
  <c r="BE897" i="1"/>
  <c r="BA897" i="1"/>
  <c r="AL897" i="1"/>
  <c r="AR897" i="1" s="1"/>
  <c r="Z897" i="1"/>
  <c r="Q897" i="1"/>
  <c r="S904" i="1" s="1"/>
  <c r="N897" i="1"/>
  <c r="BE896" i="1"/>
  <c r="BA896" i="1"/>
  <c r="AL896" i="1"/>
  <c r="Z896" i="1"/>
  <c r="Q896" i="1"/>
  <c r="S903" i="1" s="1"/>
  <c r="N896" i="1"/>
  <c r="BE895" i="1"/>
  <c r="BA895" i="1"/>
  <c r="AL895" i="1"/>
  <c r="Z895" i="1"/>
  <c r="Q895" i="1"/>
  <c r="S902" i="1" s="1"/>
  <c r="N895" i="1"/>
  <c r="S902" i="2"/>
  <c r="K902" i="2"/>
  <c r="S901" i="2"/>
  <c r="K901" i="2"/>
  <c r="S900" i="2"/>
  <c r="K900" i="2"/>
  <c r="S899" i="2"/>
  <c r="K899" i="2"/>
  <c r="S898" i="2"/>
  <c r="K898" i="2"/>
  <c r="S897" i="2"/>
  <c r="K897" i="2"/>
  <c r="S896" i="2"/>
  <c r="K896" i="2"/>
  <c r="BE894" i="1"/>
  <c r="BA894" i="1"/>
  <c r="AL894" i="1"/>
  <c r="AR894" i="1" s="1"/>
  <c r="Z894" i="1"/>
  <c r="Q894" i="1"/>
  <c r="N894" i="1"/>
  <c r="BE893" i="1"/>
  <c r="BA893" i="1"/>
  <c r="AL893" i="1"/>
  <c r="Z893" i="1"/>
  <c r="Q893" i="1"/>
  <c r="N893" i="1"/>
  <c r="B923" i="1"/>
  <c r="BE892" i="1"/>
  <c r="BA892" i="1"/>
  <c r="AL892" i="1"/>
  <c r="AR892" i="1" s="1"/>
  <c r="Z892" i="1"/>
  <c r="Q892" i="1"/>
  <c r="N892" i="1"/>
  <c r="BE891" i="1"/>
  <c r="BA891" i="1"/>
  <c r="AL891" i="1"/>
  <c r="AR891" i="1" s="1"/>
  <c r="Z891" i="1"/>
  <c r="Q891" i="1"/>
  <c r="N891" i="1"/>
  <c r="BE890" i="1"/>
  <c r="BA890" i="1"/>
  <c r="AL890" i="1"/>
  <c r="AR890" i="1" s="1"/>
  <c r="Z890" i="1"/>
  <c r="Q890" i="1"/>
  <c r="N890" i="1"/>
  <c r="BE889" i="1"/>
  <c r="BA889" i="1"/>
  <c r="AL889" i="1"/>
  <c r="AR889" i="1" s="1"/>
  <c r="Z889" i="1"/>
  <c r="Q889" i="1"/>
  <c r="N889" i="1"/>
  <c r="BE888" i="1"/>
  <c r="BA888" i="1"/>
  <c r="AL888" i="1"/>
  <c r="AR888" i="1" s="1"/>
  <c r="Z888" i="1"/>
  <c r="Q888" i="1"/>
  <c r="N888" i="1"/>
  <c r="BE887" i="1"/>
  <c r="BA887" i="1"/>
  <c r="AL887" i="1"/>
  <c r="Z887" i="1"/>
  <c r="Q887" i="1"/>
  <c r="N887" i="1"/>
  <c r="BE886" i="1"/>
  <c r="BA886" i="1"/>
  <c r="AL886" i="1"/>
  <c r="AR886" i="1" s="1"/>
  <c r="Z886" i="1"/>
  <c r="Q886" i="1"/>
  <c r="N886" i="1"/>
  <c r="BE885" i="1"/>
  <c r="BA885" i="1"/>
  <c r="AL885" i="1"/>
  <c r="AR885" i="1" s="1"/>
  <c r="Z885" i="1"/>
  <c r="Q885" i="1"/>
  <c r="N885" i="1"/>
  <c r="BE884" i="1"/>
  <c r="BA884" i="1"/>
  <c r="AL884" i="1"/>
  <c r="AR884" i="1" s="1"/>
  <c r="Z884" i="1"/>
  <c r="Q884" i="1"/>
  <c r="N884" i="1"/>
  <c r="BE883" i="1"/>
  <c r="BA883" i="1"/>
  <c r="AL883" i="1"/>
  <c r="AR883" i="1" s="1"/>
  <c r="Z883" i="1"/>
  <c r="Q883" i="1"/>
  <c r="N883" i="1"/>
  <c r="BE882" i="1"/>
  <c r="BA882" i="1"/>
  <c r="AL882" i="1"/>
  <c r="Z882" i="1"/>
  <c r="Q882" i="1"/>
  <c r="N882" i="1"/>
  <c r="BE881" i="1"/>
  <c r="BA881" i="1"/>
  <c r="AL881" i="1"/>
  <c r="AR881" i="1" s="1"/>
  <c r="Z881" i="1"/>
  <c r="Q881" i="1"/>
  <c r="N881" i="1"/>
  <c r="S895" i="2"/>
  <c r="K895" i="2"/>
  <c r="S894" i="2"/>
  <c r="K894" i="2"/>
  <c r="S893" i="2"/>
  <c r="K893" i="2"/>
  <c r="S892" i="2"/>
  <c r="K892" i="2"/>
  <c r="S891" i="2"/>
  <c r="K891" i="2"/>
  <c r="S890" i="2"/>
  <c r="K890" i="2"/>
  <c r="S889" i="2"/>
  <c r="K889" i="2"/>
  <c r="S888" i="2"/>
  <c r="K888" i="2"/>
  <c r="S887" i="2"/>
  <c r="K887" i="2"/>
  <c r="S886" i="2"/>
  <c r="K886" i="2"/>
  <c r="S885" i="2"/>
  <c r="K885" i="2"/>
  <c r="S884" i="2"/>
  <c r="K884" i="2"/>
  <c r="S883" i="2"/>
  <c r="K883" i="2"/>
  <c r="S882" i="2"/>
  <c r="K882" i="2"/>
  <c r="BE880" i="1"/>
  <c r="BA880" i="1"/>
  <c r="AL880" i="1"/>
  <c r="Z880" i="1"/>
  <c r="Q880" i="1"/>
  <c r="N880" i="1"/>
  <c r="BE879" i="1"/>
  <c r="BA879" i="1"/>
  <c r="AL879" i="1"/>
  <c r="AR879" i="1" s="1"/>
  <c r="Z879" i="1"/>
  <c r="Q879" i="1"/>
  <c r="N879" i="1"/>
  <c r="BE878" i="1"/>
  <c r="BA878" i="1"/>
  <c r="AL878" i="1"/>
  <c r="AR878" i="1" s="1"/>
  <c r="Z878" i="1"/>
  <c r="Q878" i="1"/>
  <c r="N878" i="1"/>
  <c r="BE877" i="1"/>
  <c r="BA877" i="1"/>
  <c r="AL877" i="1"/>
  <c r="AR877" i="1" s="1"/>
  <c r="Z877" i="1"/>
  <c r="Q877" i="1"/>
  <c r="N877" i="1"/>
  <c r="BE876" i="1"/>
  <c r="BA876" i="1"/>
  <c r="AL876" i="1"/>
  <c r="AR876" i="1" s="1"/>
  <c r="Z876" i="1"/>
  <c r="Q876" i="1"/>
  <c r="N876" i="1"/>
  <c r="BE875" i="1"/>
  <c r="BA875" i="1"/>
  <c r="AL875" i="1"/>
  <c r="Z875" i="1"/>
  <c r="Q875" i="1"/>
  <c r="N875" i="1"/>
  <c r="BE874" i="1"/>
  <c r="BA874" i="1"/>
  <c r="AL874" i="1"/>
  <c r="AR874" i="1" s="1"/>
  <c r="Z874" i="1"/>
  <c r="Q874" i="1"/>
  <c r="N874" i="1"/>
  <c r="S881" i="2"/>
  <c r="K881" i="2"/>
  <c r="S880" i="2"/>
  <c r="K880" i="2"/>
  <c r="S879" i="2"/>
  <c r="K879" i="2"/>
  <c r="S878" i="2"/>
  <c r="K878" i="2"/>
  <c r="S877" i="2"/>
  <c r="K877" i="2"/>
  <c r="S876" i="2"/>
  <c r="K876" i="2"/>
  <c r="S875" i="2"/>
  <c r="K875" i="2"/>
  <c r="BG898" i="1" l="1"/>
  <c r="S888" i="1"/>
  <c r="S899" i="1"/>
  <c r="Q902" i="2"/>
  <c r="M903" i="2"/>
  <c r="Q903" i="2"/>
  <c r="M902" i="2"/>
  <c r="Q899" i="2"/>
  <c r="Q896" i="2"/>
  <c r="Q895" i="2"/>
  <c r="Q893" i="2"/>
  <c r="Q900" i="2"/>
  <c r="M898" i="2"/>
  <c r="Q901" i="2"/>
  <c r="Q897" i="2"/>
  <c r="S898" i="1"/>
  <c r="S900" i="1"/>
  <c r="S896" i="1"/>
  <c r="S895" i="1"/>
  <c r="S901" i="1"/>
  <c r="BG901" i="1"/>
  <c r="BG900" i="1"/>
  <c r="BG899" i="1"/>
  <c r="S897" i="1"/>
  <c r="BG897" i="1"/>
  <c r="AR896" i="1"/>
  <c r="BG896" i="1"/>
  <c r="AR895" i="1"/>
  <c r="BG895" i="1"/>
  <c r="S894" i="1"/>
  <c r="S892" i="1"/>
  <c r="S893" i="1"/>
  <c r="M901" i="2"/>
  <c r="M900" i="2"/>
  <c r="M899" i="2"/>
  <c r="Q898" i="2"/>
  <c r="M897" i="2"/>
  <c r="M896" i="2"/>
  <c r="Q892" i="2"/>
  <c r="Q889" i="2"/>
  <c r="Q879" i="2"/>
  <c r="Q887" i="2"/>
  <c r="Q894" i="2"/>
  <c r="BG894" i="1"/>
  <c r="AR893" i="1"/>
  <c r="BG893" i="1"/>
  <c r="BG892" i="1"/>
  <c r="S890" i="1"/>
  <c r="S887" i="1"/>
  <c r="S889" i="1"/>
  <c r="S882" i="1"/>
  <c r="S881" i="1"/>
  <c r="S891" i="1"/>
  <c r="BG891" i="1"/>
  <c r="BG890" i="1"/>
  <c r="BG889" i="1"/>
  <c r="BG888" i="1"/>
  <c r="S884" i="1"/>
  <c r="S886" i="1"/>
  <c r="S885" i="1"/>
  <c r="AR887" i="1"/>
  <c r="BG887" i="1"/>
  <c r="BG886" i="1"/>
  <c r="BG885" i="1"/>
  <c r="BG884" i="1"/>
  <c r="S883" i="1"/>
  <c r="BG883" i="1"/>
  <c r="AR882" i="1"/>
  <c r="BG882" i="1"/>
  <c r="BG881" i="1"/>
  <c r="M895" i="2"/>
  <c r="M894" i="2"/>
  <c r="M893" i="2"/>
  <c r="M892" i="2"/>
  <c r="Q884" i="2"/>
  <c r="Q890" i="2"/>
  <c r="Q888" i="2"/>
  <c r="Q882" i="2"/>
  <c r="Q891" i="2"/>
  <c r="M891" i="2"/>
  <c r="M890" i="2"/>
  <c r="M889" i="2"/>
  <c r="M888" i="2"/>
  <c r="Q877" i="2"/>
  <c r="Q883" i="2"/>
  <c r="Q881" i="2"/>
  <c r="M878" i="2"/>
  <c r="Q886" i="2"/>
  <c r="M885" i="2"/>
  <c r="M887" i="2"/>
  <c r="M886" i="2"/>
  <c r="Q885" i="2"/>
  <c r="M884" i="2"/>
  <c r="M883" i="2"/>
  <c r="M882" i="2"/>
  <c r="Q880" i="2"/>
  <c r="Q876" i="2"/>
  <c r="AR880" i="1"/>
  <c r="BG880" i="1"/>
  <c r="BG879" i="1"/>
  <c r="BG878" i="1"/>
  <c r="BG877" i="1"/>
  <c r="BG876" i="1"/>
  <c r="AR875" i="1"/>
  <c r="BG875" i="1"/>
  <c r="BG874" i="1"/>
  <c r="M881" i="2"/>
  <c r="M880" i="2"/>
  <c r="M879" i="2"/>
  <c r="Q878" i="2"/>
  <c r="M877" i="2"/>
  <c r="M876" i="2"/>
  <c r="Q873" i="1" l="1"/>
  <c r="S880" i="1" s="1"/>
  <c r="N873" i="1"/>
  <c r="BE873" i="1" l="1"/>
  <c r="BA873" i="1"/>
  <c r="AL873" i="1"/>
  <c r="Z873" i="1"/>
  <c r="BE872" i="1"/>
  <c r="BA872" i="1"/>
  <c r="AL872" i="1"/>
  <c r="AR872" i="1" s="1"/>
  <c r="Z872" i="1"/>
  <c r="Q872" i="1"/>
  <c r="S879" i="1" s="1"/>
  <c r="N872" i="1"/>
  <c r="BE871" i="1"/>
  <c r="BA871" i="1"/>
  <c r="AL871" i="1"/>
  <c r="AR871" i="1" s="1"/>
  <c r="Z871" i="1"/>
  <c r="Q871" i="1"/>
  <c r="S878" i="1" s="1"/>
  <c r="N871" i="1"/>
  <c r="BE870" i="1"/>
  <c r="BA870" i="1"/>
  <c r="AL870" i="1"/>
  <c r="Z870" i="1"/>
  <c r="Q870" i="1"/>
  <c r="S877" i="1" s="1"/>
  <c r="N870" i="1"/>
  <c r="BE869" i="1"/>
  <c r="BA869" i="1"/>
  <c r="AL869" i="1"/>
  <c r="AR869" i="1" s="1"/>
  <c r="Z869" i="1"/>
  <c r="Q869" i="1"/>
  <c r="S876" i="1" s="1"/>
  <c r="N869" i="1"/>
  <c r="BE868" i="1"/>
  <c r="BA868" i="1"/>
  <c r="AL868" i="1"/>
  <c r="AR868" i="1" s="1"/>
  <c r="Z868" i="1"/>
  <c r="Q868" i="1"/>
  <c r="S875" i="1" s="1"/>
  <c r="N868" i="1"/>
  <c r="BE867" i="1"/>
  <c r="BA867" i="1"/>
  <c r="AL867" i="1"/>
  <c r="AR867" i="1" s="1"/>
  <c r="Z867" i="1"/>
  <c r="Q867" i="1"/>
  <c r="S874" i="1" s="1"/>
  <c r="N867" i="1"/>
  <c r="S874" i="2"/>
  <c r="K874" i="2"/>
  <c r="S873" i="2"/>
  <c r="K873" i="2"/>
  <c r="S872" i="2"/>
  <c r="K872" i="2"/>
  <c r="S871" i="2"/>
  <c r="K871" i="2"/>
  <c r="S870" i="2"/>
  <c r="K870" i="2"/>
  <c r="S869" i="2"/>
  <c r="K869" i="2"/>
  <c r="S868" i="2"/>
  <c r="K868" i="2"/>
  <c r="Q871" i="2" l="1"/>
  <c r="Q874" i="2"/>
  <c r="Q875" i="2"/>
  <c r="M875" i="2"/>
  <c r="Q873" i="2"/>
  <c r="AR873" i="1"/>
  <c r="BG873" i="1"/>
  <c r="BG872" i="1"/>
  <c r="BG871" i="1"/>
  <c r="AR870" i="1"/>
  <c r="BG870" i="1"/>
  <c r="BG869" i="1"/>
  <c r="BG868" i="1"/>
  <c r="BG867" i="1"/>
  <c r="M874" i="2"/>
  <c r="M872" i="2"/>
  <c r="Q870" i="2"/>
  <c r="M873" i="2"/>
  <c r="Q872" i="2"/>
  <c r="M871" i="2"/>
  <c r="M870" i="2"/>
  <c r="Q869" i="2"/>
  <c r="M869" i="2"/>
  <c r="BE866" i="1" l="1"/>
  <c r="BA866" i="1"/>
  <c r="AL866" i="1"/>
  <c r="Z866" i="1"/>
  <c r="Q866" i="1"/>
  <c r="S873" i="1" s="1"/>
  <c r="N866" i="1"/>
  <c r="BE865" i="1"/>
  <c r="BA865" i="1"/>
  <c r="AL865" i="1"/>
  <c r="AR865" i="1" s="1"/>
  <c r="Z865" i="1"/>
  <c r="Q865" i="1"/>
  <c r="S872" i="1" s="1"/>
  <c r="N865" i="1"/>
  <c r="BE864" i="1"/>
  <c r="BA864" i="1"/>
  <c r="AL864" i="1"/>
  <c r="Z864" i="1"/>
  <c r="Q864" i="1"/>
  <c r="S871" i="1" s="1"/>
  <c r="N864" i="1"/>
  <c r="BE863" i="1"/>
  <c r="BA863" i="1"/>
  <c r="AL863" i="1"/>
  <c r="AR863" i="1" s="1"/>
  <c r="Z863" i="1"/>
  <c r="Q863" i="1"/>
  <c r="S870" i="1" s="1"/>
  <c r="N863" i="1"/>
  <c r="AR866" i="1" l="1"/>
  <c r="BG866" i="1"/>
  <c r="BG865" i="1"/>
  <c r="AR864" i="1"/>
  <c r="BG864" i="1"/>
  <c r="BG863" i="1"/>
  <c r="BE862" i="1"/>
  <c r="BA862" i="1"/>
  <c r="BG862" i="1" s="1"/>
  <c r="AL862" i="1"/>
  <c r="AR862" i="1" s="1"/>
  <c r="Z862" i="1"/>
  <c r="Q862" i="1"/>
  <c r="S869" i="1" s="1"/>
  <c r="N862" i="1"/>
  <c r="BE861" i="1"/>
  <c r="BA861" i="1"/>
  <c r="AL861" i="1"/>
  <c r="AR861" i="1" s="1"/>
  <c r="Z861" i="1"/>
  <c r="Q861" i="1"/>
  <c r="S868" i="1" s="1"/>
  <c r="N861" i="1"/>
  <c r="BE860" i="1"/>
  <c r="BA860" i="1"/>
  <c r="AL860" i="1"/>
  <c r="AR860" i="1" s="1"/>
  <c r="Z860" i="1"/>
  <c r="Q860" i="1"/>
  <c r="S867" i="1" s="1"/>
  <c r="N860" i="1"/>
  <c r="S867" i="2"/>
  <c r="K867" i="2"/>
  <c r="S866" i="2"/>
  <c r="K866" i="2"/>
  <c r="S865" i="2"/>
  <c r="K865" i="2"/>
  <c r="S864" i="2"/>
  <c r="K864" i="2"/>
  <c r="S863" i="2"/>
  <c r="K863" i="2"/>
  <c r="S862" i="2"/>
  <c r="K862" i="2"/>
  <c r="S861" i="2"/>
  <c r="K861" i="2"/>
  <c r="Q867" i="2" l="1"/>
  <c r="M868" i="2"/>
  <c r="Q868" i="2"/>
  <c r="Q864" i="2"/>
  <c r="BG861" i="1"/>
  <c r="BG860" i="1"/>
  <c r="M867" i="2"/>
  <c r="Q862" i="2"/>
  <c r="Q865" i="2"/>
  <c r="Q863" i="2"/>
  <c r="Q866" i="2"/>
  <c r="M866" i="2"/>
  <c r="M865" i="2"/>
  <c r="M864" i="2"/>
  <c r="M863" i="2"/>
  <c r="M862" i="2"/>
  <c r="BE859" i="1"/>
  <c r="BA859" i="1"/>
  <c r="AL859" i="1"/>
  <c r="Z859" i="1"/>
  <c r="Q859" i="1"/>
  <c r="S866" i="1" s="1"/>
  <c r="N859" i="1"/>
  <c r="BE858" i="1"/>
  <c r="BA858" i="1"/>
  <c r="AL858" i="1"/>
  <c r="AR858" i="1" s="1"/>
  <c r="Z858" i="1"/>
  <c r="Q858" i="1"/>
  <c r="S865" i="1" s="1"/>
  <c r="N858" i="1"/>
  <c r="BE857" i="1"/>
  <c r="BA857" i="1"/>
  <c r="AL857" i="1"/>
  <c r="AR857" i="1" s="1"/>
  <c r="Z857" i="1"/>
  <c r="Q857" i="1"/>
  <c r="S864" i="1" s="1"/>
  <c r="N857" i="1"/>
  <c r="BE856" i="1"/>
  <c r="BA856" i="1"/>
  <c r="AL856" i="1"/>
  <c r="Z856" i="1"/>
  <c r="Q856" i="1"/>
  <c r="S863" i="1" s="1"/>
  <c r="N856" i="1"/>
  <c r="BE855" i="1"/>
  <c r="BA855" i="1"/>
  <c r="AL855" i="1"/>
  <c r="Z855" i="1"/>
  <c r="Q855" i="1"/>
  <c r="S862" i="1" s="1"/>
  <c r="N855" i="1"/>
  <c r="BE854" i="1"/>
  <c r="BA854" i="1"/>
  <c r="AL854" i="1"/>
  <c r="AR854" i="1" s="1"/>
  <c r="Z854" i="1"/>
  <c r="Q854" i="1"/>
  <c r="S861" i="1" s="1"/>
  <c r="N854" i="1"/>
  <c r="BE853" i="1"/>
  <c r="BA853" i="1"/>
  <c r="AL853" i="1"/>
  <c r="Z853" i="1"/>
  <c r="Q853" i="1"/>
  <c r="S860" i="1" s="1"/>
  <c r="N853" i="1"/>
  <c r="S860" i="2"/>
  <c r="K860" i="2"/>
  <c r="M861" i="2" s="1"/>
  <c r="S859" i="2"/>
  <c r="K859" i="2"/>
  <c r="S858" i="2"/>
  <c r="K858" i="2"/>
  <c r="S857" i="2"/>
  <c r="K857" i="2"/>
  <c r="S856" i="2"/>
  <c r="K856" i="2"/>
  <c r="S855" i="2"/>
  <c r="K855" i="2"/>
  <c r="S854" i="2"/>
  <c r="K854" i="2"/>
  <c r="Q861" i="2" l="1"/>
  <c r="BA919" i="1"/>
  <c r="BC919" i="1" s="1"/>
  <c r="Q856" i="2"/>
  <c r="Q858" i="2"/>
  <c r="AR859" i="1"/>
  <c r="BG859" i="1"/>
  <c r="BG858" i="1"/>
  <c r="BG857" i="1"/>
  <c r="AR856" i="1"/>
  <c r="BG856" i="1"/>
  <c r="AR855" i="1"/>
  <c r="BG855" i="1"/>
  <c r="BG854" i="1"/>
  <c r="AR853" i="1"/>
  <c r="BG853" i="1"/>
  <c r="Q857" i="2"/>
  <c r="Q859" i="2"/>
  <c r="Q860" i="2"/>
  <c r="M855" i="2"/>
  <c r="M860" i="2"/>
  <c r="M859" i="2"/>
  <c r="M858" i="2"/>
  <c r="M857" i="2"/>
  <c r="M856" i="2"/>
  <c r="Q855" i="2"/>
  <c r="BE852" i="1"/>
  <c r="BA852" i="1"/>
  <c r="AL852" i="1"/>
  <c r="AR852" i="1" s="1"/>
  <c r="Z852" i="1"/>
  <c r="Q852" i="1"/>
  <c r="S859" i="1" s="1"/>
  <c r="N852" i="1"/>
  <c r="BE851" i="1"/>
  <c r="BA851" i="1"/>
  <c r="AL851" i="1"/>
  <c r="AR851" i="1" s="1"/>
  <c r="Z851" i="1"/>
  <c r="Q851" i="1"/>
  <c r="N851" i="1"/>
  <c r="BE850" i="1"/>
  <c r="BA850" i="1"/>
  <c r="AL850" i="1"/>
  <c r="AR850" i="1" s="1"/>
  <c r="Z850" i="1"/>
  <c r="Q850" i="1"/>
  <c r="S857" i="1" s="1"/>
  <c r="N850" i="1"/>
  <c r="BE849" i="1"/>
  <c r="BA849" i="1"/>
  <c r="AL849" i="1"/>
  <c r="Z849" i="1"/>
  <c r="Q849" i="1"/>
  <c r="S856" i="1" s="1"/>
  <c r="N849" i="1"/>
  <c r="BE848" i="1"/>
  <c r="BA848" i="1"/>
  <c r="AL848" i="1"/>
  <c r="AR848" i="1" s="1"/>
  <c r="Z848" i="1"/>
  <c r="Q848" i="1"/>
  <c r="S855" i="1" s="1"/>
  <c r="N848" i="1"/>
  <c r="BE847" i="1"/>
  <c r="BA847" i="1"/>
  <c r="AL847" i="1"/>
  <c r="AR847" i="1" s="1"/>
  <c r="Z847" i="1"/>
  <c r="Q847" i="1"/>
  <c r="N847" i="1"/>
  <c r="BE846" i="1"/>
  <c r="BA846" i="1"/>
  <c r="AL846" i="1"/>
  <c r="AR846" i="1" s="1"/>
  <c r="Z846" i="1"/>
  <c r="Q846" i="1"/>
  <c r="S853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S853" i="2"/>
  <c r="K853" i="2"/>
  <c r="S852" i="2"/>
  <c r="K852" i="2"/>
  <c r="S851" i="2"/>
  <c r="K851" i="2"/>
  <c r="S850" i="2"/>
  <c r="K850" i="2"/>
  <c r="S849" i="2"/>
  <c r="K849" i="2"/>
  <c r="S848" i="2"/>
  <c r="K848" i="2"/>
  <c r="S847" i="2"/>
  <c r="K847" i="2"/>
  <c r="S846" i="2"/>
  <c r="K846" i="2"/>
  <c r="S845" i="2"/>
  <c r="K845" i="2"/>
  <c r="S844" i="2"/>
  <c r="K844" i="2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S839" i="2"/>
  <c r="K839" i="2"/>
  <c r="S838" i="2"/>
  <c r="K838" i="2"/>
  <c r="S837" i="2"/>
  <c r="K837" i="2"/>
  <c r="S836" i="2"/>
  <c r="K836" i="2"/>
  <c r="S835" i="2"/>
  <c r="K835" i="2"/>
  <c r="S834" i="2"/>
  <c r="K834" i="2"/>
  <c r="S833" i="2"/>
  <c r="K833" i="2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L823" i="1"/>
  <c r="AR823" i="1" s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S852" i="1" l="1"/>
  <c r="S847" i="1"/>
  <c r="S851" i="1"/>
  <c r="BY815" i="1"/>
  <c r="BG852" i="1"/>
  <c r="S858" i="1"/>
  <c r="S850" i="1"/>
  <c r="S854" i="1"/>
  <c r="S848" i="1"/>
  <c r="S846" i="1"/>
  <c r="S849" i="1"/>
  <c r="Q851" i="2"/>
  <c r="Q837" i="2"/>
  <c r="Q844" i="2"/>
  <c r="M852" i="2"/>
  <c r="M854" i="2"/>
  <c r="Q854" i="2"/>
  <c r="M847" i="2"/>
  <c r="Q853" i="2"/>
  <c r="Q833" i="2"/>
  <c r="Q849" i="2"/>
  <c r="BG851" i="1"/>
  <c r="BG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915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Q734" i="2" l="1"/>
  <c r="M733" i="2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1006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1005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915" i="1"/>
  <c r="BU916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915" i="1"/>
  <c r="BV916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1040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89" i="3"/>
  <c r="AJ887" i="3"/>
  <c r="AJ890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100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1005" i="1"/>
  <c r="BG1025" i="1"/>
  <c r="BG102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102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1040" i="1"/>
  <c r="BP1026" i="1"/>
  <c r="BG1027" i="1" s="1"/>
  <c r="BN1023" i="1"/>
  <c r="BP102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1004" i="1"/>
  <c r="BP1004" i="1" s="1"/>
  <c r="BP1006" i="1"/>
  <c r="BP100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1027" i="1"/>
  <c r="BG1028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1024" i="1"/>
  <c r="BP102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1028" i="1" l="1"/>
  <c r="BY1028" i="1" s="1"/>
  <c r="Q358" i="2"/>
  <c r="M357" i="2"/>
  <c r="U357" i="2"/>
  <c r="M358" i="2"/>
  <c r="CL1034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1008" i="1" l="1"/>
  <c r="BG1032" i="1"/>
  <c r="BP1031" i="1"/>
  <c r="BP1033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99" i="1"/>
  <c r="N1001" i="1" s="1"/>
  <c r="N1002" i="1" l="1"/>
  <c r="D1002" i="1" s="1"/>
  <c r="N1003" i="1"/>
  <c r="N1004" i="1"/>
  <c r="D1003" i="1" l="1"/>
  <c r="D100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90" i="1"/>
  <c r="BG99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93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92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915" i="1"/>
  <c r="G916" i="1" s="1"/>
  <c r="F915" i="1"/>
  <c r="F916" i="1" s="1"/>
  <c r="E915" i="1"/>
  <c r="E916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93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935" i="1" l="1"/>
  <c r="AR934" i="1"/>
  <c r="AP934" i="1"/>
  <c r="AR933" i="1"/>
  <c r="AP933" i="1"/>
  <c r="AV933" i="1" l="1"/>
  <c r="AV934" i="1"/>
  <c r="AV93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79" i="1"/>
  <c r="N214" i="1"/>
  <c r="N204" i="1"/>
  <c r="BA978" i="1" s="1"/>
  <c r="N174" i="1"/>
  <c r="BA977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78" i="1" l="1"/>
  <c r="BE978" i="1" s="1"/>
  <c r="Q218" i="2"/>
  <c r="BC979" i="1"/>
  <c r="BE97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947" i="1"/>
  <c r="H94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6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91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92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67" i="1"/>
  <c r="AP96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62" i="1"/>
  <c r="H963" i="1"/>
  <c r="J963" i="1" s="1"/>
  <c r="H964" i="1"/>
  <c r="J964" i="1" s="1"/>
  <c r="S154" i="2"/>
  <c r="M156" i="2" l="1"/>
  <c r="Q156" i="2"/>
  <c r="O964" i="1"/>
  <c r="AI154" i="1"/>
  <c r="AI161" i="1"/>
  <c r="BK160" i="1"/>
  <c r="BM160" i="1" s="1"/>
  <c r="AR154" i="1"/>
  <c r="BG154" i="1"/>
  <c r="U155" i="2"/>
  <c r="J962" i="1"/>
  <c r="J96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65" i="1"/>
  <c r="AA964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904" i="3"/>
  <c r="F905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940" i="1" l="1"/>
  <c r="AR93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93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94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931" i="1" s="1"/>
  <c r="AH113" i="1"/>
  <c r="AP93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93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951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938" i="1"/>
  <c r="AP932" i="1" s="1"/>
  <c r="AV93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76" i="1"/>
  <c r="BC977" i="1" s="1"/>
  <c r="BE977" i="1" s="1"/>
  <c r="BE988" i="1"/>
  <c r="BE992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79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88" i="1" s="1"/>
  <c r="AL113" i="1"/>
  <c r="K114" i="2"/>
  <c r="V578" i="1" l="1"/>
  <c r="BA992" i="1"/>
  <c r="BC990" i="1"/>
  <c r="BG988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86" i="3"/>
  <c r="AA885" i="3"/>
  <c r="AA884" i="3"/>
  <c r="AA883" i="3"/>
  <c r="AA882" i="3"/>
  <c r="AA881" i="3"/>
  <c r="AA880" i="3"/>
  <c r="AA879" i="3"/>
  <c r="AA878" i="3"/>
  <c r="AA877" i="3"/>
  <c r="Y887" i="3"/>
  <c r="W887" i="3"/>
  <c r="S107" i="2"/>
  <c r="V621" i="1" l="1"/>
  <c r="V622" i="1" s="1"/>
  <c r="V623" i="1" s="1"/>
  <c r="V624" i="1" s="1"/>
  <c r="V625" i="1" s="1"/>
  <c r="V626" i="1" s="1"/>
  <c r="V627" i="1" s="1"/>
  <c r="V628" i="1" s="1"/>
  <c r="AA887" i="3"/>
  <c r="AA890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87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98" i="3"/>
  <c r="F901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930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Q77" i="2"/>
  <c r="M77" i="2"/>
  <c r="BG75" i="1"/>
  <c r="U76" i="2"/>
  <c r="V864" i="1" l="1"/>
  <c r="V865" i="1" s="1"/>
  <c r="V866" i="1" s="1"/>
  <c r="V867" i="1" s="1"/>
  <c r="V868" i="1" s="1"/>
  <c r="V869" i="1" s="1"/>
  <c r="V870" i="1" s="1"/>
  <c r="V871" i="1" s="1"/>
  <c r="V872" i="1" s="1"/>
  <c r="S75" i="2"/>
  <c r="BE74" i="1"/>
  <c r="BA74" i="1"/>
  <c r="AL74" i="1"/>
  <c r="AR74" i="1" s="1"/>
  <c r="K75" i="2"/>
  <c r="V873" i="1" l="1"/>
  <c r="M76" i="2"/>
  <c r="Q76" i="2"/>
  <c r="BG74" i="1"/>
  <c r="U75" i="2"/>
  <c r="S74" i="2"/>
  <c r="K74" i="2"/>
  <c r="BE73" i="1"/>
  <c r="BA73" i="1"/>
  <c r="AL73" i="1"/>
  <c r="V874" i="1" l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M75" i="2"/>
  <c r="Q75" i="2"/>
  <c r="AR73" i="1"/>
  <c r="U74" i="2"/>
  <c r="BG73" i="1"/>
  <c r="I60" i="3"/>
  <c r="V887" i="1" l="1"/>
  <c r="V888" i="1" s="1"/>
  <c r="V889" i="1" s="1"/>
  <c r="V890" i="1" s="1"/>
  <c r="V891" i="1" s="1"/>
  <c r="AH217" i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V892" i="1" l="1"/>
  <c r="V893" i="1" s="1"/>
  <c r="Q74" i="2"/>
  <c r="M74" i="2"/>
  <c r="BG72" i="1"/>
  <c r="U73" i="2"/>
  <c r="K72" i="2"/>
  <c r="BE71" i="1"/>
  <c r="BA71" i="1"/>
  <c r="AL71" i="1"/>
  <c r="AR71" i="1" s="1"/>
  <c r="V894" i="1" l="1"/>
  <c r="V895" i="1" s="1"/>
  <c r="V896" i="1" s="1"/>
  <c r="V897" i="1" s="1"/>
  <c r="V898" i="1" s="1"/>
  <c r="V899" i="1" s="1"/>
  <c r="V900" i="1" s="1"/>
  <c r="M73" i="2"/>
  <c r="Q73" i="2"/>
  <c r="U72" i="2"/>
  <c r="BG71" i="1"/>
  <c r="S71" i="2"/>
  <c r="K71" i="2"/>
  <c r="V901" i="1" l="1"/>
  <c r="V902" i="1" s="1"/>
  <c r="V903" i="1" s="1"/>
  <c r="V904" i="1" s="1"/>
  <c r="V905" i="1" s="1"/>
  <c r="V906" i="1" s="1"/>
  <c r="V907" i="1" s="1"/>
  <c r="M72" i="2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930" i="1"/>
  <c r="AV93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88" i="3" l="1"/>
  <c r="I885" i="3"/>
  <c r="L885" i="3" s="1"/>
  <c r="I78" i="3"/>
  <c r="I80" i="3" s="1"/>
  <c r="I77" i="3"/>
  <c r="BE64" i="1"/>
  <c r="BA64" i="1"/>
  <c r="AL64" i="1"/>
  <c r="AR64" i="1" s="1"/>
  <c r="K65" i="2"/>
  <c r="Y19" i="3"/>
  <c r="Q66" i="2" l="1"/>
  <c r="M66" i="2"/>
  <c r="L888" i="3"/>
  <c r="I79" i="3"/>
  <c r="I81" i="3" s="1"/>
  <c r="I82" i="3" s="1"/>
  <c r="BG64" i="1"/>
  <c r="U65" i="2"/>
  <c r="S64" i="2"/>
  <c r="N81" i="3" l="1"/>
  <c r="N82" i="3" s="1"/>
  <c r="I887" i="3"/>
  <c r="L887" i="3" s="1"/>
  <c r="K64" i="2"/>
  <c r="BE63" i="1"/>
  <c r="BA63" i="1"/>
  <c r="AL63" i="1"/>
  <c r="AR63" i="1" s="1"/>
  <c r="Y18" i="3"/>
  <c r="Q65" i="2" l="1"/>
  <c r="M65" i="2"/>
  <c r="I889" i="3"/>
  <c r="U64" i="2"/>
  <c r="BG63" i="1"/>
  <c r="L878" i="3" l="1"/>
  <c r="L889" i="3"/>
  <c r="L877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92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75" i="1"/>
  <c r="B97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929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937" i="1"/>
  <c r="AR939" i="1" s="1"/>
  <c r="AV93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929" i="1"/>
  <c r="AV929" i="1" s="1"/>
  <c r="BA935" i="1" s="1"/>
  <c r="BA936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913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W850" i="2" s="1"/>
  <c r="W851" i="2" s="1"/>
  <c r="W852" i="2" s="1"/>
  <c r="W853" i="2" s="1"/>
  <c r="W854" i="2" s="1"/>
  <c r="W855" i="2" s="1"/>
  <c r="W856" i="2" s="1"/>
  <c r="W857" i="2" s="1"/>
  <c r="W858" i="2" s="1"/>
  <c r="W859" i="2" s="1"/>
  <c r="W860" i="2" s="1"/>
  <c r="W861" i="2" s="1"/>
  <c r="W862" i="2" s="1"/>
  <c r="W863" i="2" s="1"/>
  <c r="W864" i="2" s="1"/>
  <c r="W865" i="2" s="1"/>
  <c r="W866" i="2" s="1"/>
  <c r="W867" i="2" s="1"/>
  <c r="W868" i="2" s="1"/>
  <c r="W869" i="2" s="1"/>
  <c r="W870" i="2" s="1"/>
  <c r="W871" i="2" s="1"/>
  <c r="W872" i="2" s="1"/>
  <c r="W873" i="2" s="1"/>
  <c r="W874" i="2" s="1"/>
  <c r="W875" i="2" s="1"/>
  <c r="W876" i="2" s="1"/>
  <c r="W877" i="2" s="1"/>
  <c r="W878" i="2" s="1"/>
  <c r="W879" i="2" s="1"/>
  <c r="W880" i="2" s="1"/>
  <c r="W881" i="2" s="1"/>
  <c r="W882" i="2" s="1"/>
  <c r="W883" i="2" s="1"/>
  <c r="W884" i="2" s="1"/>
  <c r="W885" i="2" s="1"/>
  <c r="W886" i="2" s="1"/>
  <c r="W887" i="2" s="1"/>
  <c r="W888" i="2" s="1"/>
  <c r="W889" i="2" s="1"/>
  <c r="W890" i="2" s="1"/>
  <c r="W891" i="2" s="1"/>
  <c r="W892" i="2" s="1"/>
  <c r="W893" i="2" s="1"/>
  <c r="W894" i="2" s="1"/>
  <c r="W895" i="2" s="1"/>
  <c r="W896" i="2" s="1"/>
  <c r="W897" i="2" s="1"/>
  <c r="W898" i="2" s="1"/>
  <c r="W899" i="2" s="1"/>
  <c r="W900" i="2" s="1"/>
  <c r="W901" i="2" s="1"/>
  <c r="W902" i="2" s="1"/>
  <c r="W903" i="2" s="1"/>
  <c r="W904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C850" i="2" l="1"/>
  <c r="C851" i="2" s="1"/>
  <c r="C852" i="2" s="1"/>
  <c r="C853" i="2" s="1"/>
  <c r="C854" i="2" s="1"/>
  <c r="U717" i="3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C855" i="2" l="1"/>
  <c r="U730" i="3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C856" i="2" l="1"/>
  <c r="C857" i="2" s="1"/>
  <c r="C858" i="2" s="1"/>
  <c r="C859" i="2" s="1"/>
  <c r="C860" i="2" s="1"/>
  <c r="U732" i="3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C861" i="2" l="1"/>
  <c r="U735" i="3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C862" i="2" l="1"/>
  <c r="C863" i="2" s="1"/>
  <c r="C864" i="2" s="1"/>
  <c r="C865" i="2" s="1"/>
  <c r="C866" i="2" s="1"/>
  <c r="C867" i="2" s="1"/>
  <c r="U739" i="3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C868" i="2" l="1"/>
  <c r="U743" i="3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C869" i="2" l="1"/>
  <c r="C870" i="2" s="1"/>
  <c r="C871" i="2" s="1"/>
  <c r="C872" i="2" s="1"/>
  <c r="C873" i="2" s="1"/>
  <c r="U746" i="3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89" i="3"/>
  <c r="Y890" i="3" s="1"/>
  <c r="O92" i="1"/>
  <c r="H93" i="1"/>
  <c r="J93" i="1"/>
  <c r="AC92" i="1"/>
  <c r="AV92" i="1"/>
  <c r="C874" i="2" l="1"/>
  <c r="C875" i="2" s="1"/>
  <c r="U749" i="3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C876" i="2" l="1"/>
  <c r="C877" i="2" s="1"/>
  <c r="C878" i="2" s="1"/>
  <c r="C879" i="2" s="1"/>
  <c r="C880" i="2" s="1"/>
  <c r="C881" i="2" s="1"/>
  <c r="U753" i="3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C882" i="2" l="1"/>
  <c r="C883" i="2" s="1"/>
  <c r="C884" i="2" s="1"/>
  <c r="C885" i="2" s="1"/>
  <c r="C886" i="2" s="1"/>
  <c r="C887" i="2" s="1"/>
  <c r="U755" i="3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C888" i="2" l="1"/>
  <c r="C889" i="2" s="1"/>
  <c r="C890" i="2" s="1"/>
  <c r="C891" i="2" s="1"/>
  <c r="C892" i="2" s="1"/>
  <c r="C893" i="2" s="1"/>
  <c r="U760" i="3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C894" i="2" l="1"/>
  <c r="C895" i="2" s="1"/>
  <c r="C896" i="2" s="1"/>
  <c r="U762" i="3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C897" i="2" l="1"/>
  <c r="C898" i="2" s="1"/>
  <c r="C899" i="2" s="1"/>
  <c r="U766" i="3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C900" i="2" l="1"/>
  <c r="C901" i="2" s="1"/>
  <c r="C902" i="2" s="1"/>
  <c r="C903" i="2" s="1"/>
  <c r="C904" i="2" s="1"/>
  <c r="C905" i="2" s="1"/>
  <c r="C913" i="2" s="1"/>
  <c r="U769" i="3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89" i="3"/>
  <c r="W890" i="3" s="1"/>
  <c r="AC106" i="1"/>
  <c r="U803" i="3" l="1"/>
  <c r="U804" i="3" s="1"/>
  <c r="U805" i="3" s="1"/>
  <c r="U806" i="3" s="1"/>
  <c r="U807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U808" i="3" l="1"/>
  <c r="B687" i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U809" i="3" l="1"/>
  <c r="U810" i="3" s="1"/>
  <c r="U811" i="3" s="1"/>
  <c r="U812" i="3" s="1"/>
  <c r="U813" i="3" s="1"/>
  <c r="B691" i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U814" i="3" l="1"/>
  <c r="U815" i="3" s="1"/>
  <c r="U816" i="3" s="1"/>
  <c r="B694" i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U817" i="3" l="1"/>
  <c r="U818" i="3" s="1"/>
  <c r="U819" i="3" s="1"/>
  <c r="B699" i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U820" i="3" l="1"/>
  <c r="U821" i="3" s="1"/>
  <c r="U822" i="3" s="1"/>
  <c r="B703" i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U823" i="3" l="1"/>
  <c r="U824" i="3" s="1"/>
  <c r="U825" i="3" s="1"/>
  <c r="B705" i="1"/>
  <c r="BW178" i="1"/>
  <c r="BN177" i="1"/>
  <c r="AX177" i="1"/>
  <c r="BR159" i="1"/>
  <c r="BP160" i="1"/>
  <c r="AA137" i="1"/>
  <c r="AE136" i="1"/>
  <c r="J114" i="1"/>
  <c r="O113" i="1"/>
  <c r="AV113" i="1"/>
  <c r="AC113" i="1"/>
  <c r="U826" i="3" l="1"/>
  <c r="U827" i="3" s="1"/>
  <c r="U828" i="3" s="1"/>
  <c r="U829" i="3" s="1"/>
  <c r="B706" i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U830" i="3" l="1"/>
  <c r="U831" i="3" s="1"/>
  <c r="U832" i="3" s="1"/>
  <c r="U833" i="3" s="1"/>
  <c r="B711" i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U834" i="3" l="1"/>
  <c r="U835" i="3" s="1"/>
  <c r="U836" i="3" s="1"/>
  <c r="B714" i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U837" i="3" l="1"/>
  <c r="U838" i="3" s="1"/>
  <c r="U839" i="3" s="1"/>
  <c r="U840" i="3" s="1"/>
  <c r="U841" i="3" s="1"/>
  <c r="B720" i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U842" i="3" l="1"/>
  <c r="U843" i="3" s="1"/>
  <c r="U844" i="3" s="1"/>
  <c r="U845" i="3" s="1"/>
  <c r="U846" i="3" s="1"/>
  <c r="B724" i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U847" i="3" l="1"/>
  <c r="U848" i="3" s="1"/>
  <c r="U849" i="3" s="1"/>
  <c r="U850" i="3" s="1"/>
  <c r="B729" i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U851" i="3" l="1"/>
  <c r="U852" i="3" s="1"/>
  <c r="U853" i="3" s="1"/>
  <c r="U854" i="3" s="1"/>
  <c r="U855" i="3" s="1"/>
  <c r="B733" i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U856" i="3" l="1"/>
  <c r="U857" i="3" s="1"/>
  <c r="B735" i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U858" i="3" l="1"/>
  <c r="U859" i="3" s="1"/>
  <c r="U860" i="3" s="1"/>
  <c r="U861" i="3" s="1"/>
  <c r="U862" i="3" s="1"/>
  <c r="U863" i="3" s="1"/>
  <c r="U869" i="3" s="1"/>
  <c r="B739" i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850" i="1" l="1"/>
  <c r="B851" i="1" s="1"/>
  <c r="B852" i="1" s="1"/>
  <c r="B853" i="1" s="1"/>
  <c r="BN215" i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854" i="1" l="1"/>
  <c r="B855" i="1" s="1"/>
  <c r="B856" i="1" s="1"/>
  <c r="BW217" i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B857" i="1" l="1"/>
  <c r="B858" i="1" s="1"/>
  <c r="B859" i="1" s="1"/>
  <c r="B860" i="1" s="1"/>
  <c r="AX217" i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B861" i="1" l="1"/>
  <c r="B862" i="1" s="1"/>
  <c r="B863" i="1" s="1"/>
  <c r="B864" i="1" s="1"/>
  <c r="B865" i="1" s="1"/>
  <c r="AX218" i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866" i="1" l="1"/>
  <c r="B867" i="1" s="1"/>
  <c r="AX219" i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868" i="1" l="1"/>
  <c r="B869" i="1" s="1"/>
  <c r="B870" i="1" s="1"/>
  <c r="B871" i="1" s="1"/>
  <c r="BN220" i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872" i="1" l="1"/>
  <c r="B873" i="1" s="1"/>
  <c r="B874" i="1" s="1"/>
  <c r="B875" i="1" s="1"/>
  <c r="BN222" i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876" i="1" l="1"/>
  <c r="B877" i="1" s="1"/>
  <c r="B878" i="1" s="1"/>
  <c r="B879" i="1" s="1"/>
  <c r="B880" i="1" s="1"/>
  <c r="B881" i="1" s="1"/>
  <c r="BN223" i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882" i="1" l="1"/>
  <c r="B883" i="1" s="1"/>
  <c r="B884" i="1" s="1"/>
  <c r="B885" i="1" s="1"/>
  <c r="B886" i="1" s="1"/>
  <c r="B887" i="1" s="1"/>
  <c r="BN224" i="1"/>
  <c r="BW225" i="1"/>
  <c r="AX224" i="1"/>
  <c r="BR211" i="1"/>
  <c r="BP212" i="1"/>
  <c r="AE192" i="1"/>
  <c r="AA193" i="1"/>
  <c r="AV154" i="1"/>
  <c r="J155" i="1"/>
  <c r="H155" i="1"/>
  <c r="O154" i="1"/>
  <c r="AC154" i="1"/>
  <c r="B888" i="1" l="1"/>
  <c r="B889" i="1" s="1"/>
  <c r="B890" i="1" s="1"/>
  <c r="B891" i="1" s="1"/>
  <c r="B892" i="1" s="1"/>
  <c r="BN225" i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B893" i="1" l="1"/>
  <c r="B894" i="1" s="1"/>
  <c r="B895" i="1" s="1"/>
  <c r="AX226" i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B896" i="1" l="1"/>
  <c r="B897" i="1" s="1"/>
  <c r="B898" i="1" s="1"/>
  <c r="B899" i="1" s="1"/>
  <c r="B900" i="1" s="1"/>
  <c r="B901" i="1" s="1"/>
  <c r="B902" i="1" s="1"/>
  <c r="AX227" i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903" i="1" l="1"/>
  <c r="B904" i="1" s="1"/>
  <c r="B905" i="1" s="1"/>
  <c r="B906" i="1" s="1"/>
  <c r="B907" i="1" s="1"/>
  <c r="B913" i="1" s="1"/>
  <c r="BW229" i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94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1001" i="1" s="1"/>
  <c r="O173" i="1"/>
  <c r="AV173" i="1"/>
  <c r="AC173" i="1"/>
  <c r="BE1001" i="1" l="1"/>
  <c r="BA102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1023" i="1" l="1"/>
  <c r="BP100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1023" i="1" l="1"/>
  <c r="CA1023" i="1" s="1"/>
  <c r="BC102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1014" i="1" s="1"/>
  <c r="BA1002" i="1" s="1"/>
  <c r="J235" i="1"/>
  <c r="O234" i="1"/>
  <c r="AC234" i="1"/>
  <c r="BE1002" i="1" l="1"/>
  <c r="BA102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1002" i="1" l="1"/>
  <c r="BE102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1024" i="1" l="1"/>
  <c r="BC1024" i="1"/>
  <c r="BC1028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1016" i="1"/>
  <c r="BA1003" i="1" s="1"/>
  <c r="BA1007" i="1" s="1"/>
  <c r="BR1011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1009" i="1"/>
  <c r="AA403" i="1"/>
  <c r="AA404" i="1" s="1"/>
  <c r="AE402" i="1"/>
  <c r="BE1003" i="1"/>
  <c r="BA1025" i="1"/>
  <c r="BA1026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1010" i="1"/>
  <c r="AA405" i="1"/>
  <c r="AE404" i="1"/>
  <c r="AE403" i="1"/>
  <c r="BE1007" i="1"/>
  <c r="BE1025" i="1"/>
  <c r="BP1003" i="1"/>
  <c r="AC329" i="1"/>
  <c r="J330" i="1"/>
  <c r="H330" i="1"/>
  <c r="AV329" i="1"/>
  <c r="O329" i="1"/>
  <c r="BE1027" i="1" l="1"/>
  <c r="BA1028" i="1"/>
  <c r="BE1028" i="1" s="1"/>
  <c r="BR1028" i="1" s="1"/>
  <c r="CL1029" i="1" s="1"/>
  <c r="BE1026" i="1"/>
  <c r="BC1025" i="1"/>
  <c r="AX439" i="1"/>
  <c r="BW440" i="1"/>
  <c r="BW441" i="1" s="1"/>
  <c r="BN439" i="1"/>
  <c r="BR424" i="1"/>
  <c r="BP425" i="1"/>
  <c r="BP426" i="1" s="1"/>
  <c r="AE405" i="1"/>
  <c r="AA406" i="1"/>
  <c r="AA407" i="1" s="1"/>
  <c r="BR1025" i="1"/>
  <c r="D1007" i="1"/>
  <c r="AH580" i="1" s="1"/>
  <c r="BG1007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1026" i="1"/>
  <c r="BC1026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100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1027" i="1"/>
  <c r="CL1043" i="1" s="1"/>
  <c r="CL1045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1031" i="1"/>
  <c r="BC1031" i="1" s="1"/>
  <c r="CL1031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913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BW850" i="1" s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W851" i="1" l="1"/>
  <c r="AX850" i="1"/>
  <c r="BN850" i="1"/>
  <c r="BN849" i="1"/>
  <c r="AX849" i="1"/>
  <c r="BP827" i="1"/>
  <c r="BR826" i="1"/>
  <c r="AE815" i="1"/>
  <c r="AA816" i="1"/>
  <c r="AV638" i="1"/>
  <c r="J639" i="1"/>
  <c r="H639" i="1"/>
  <c r="O638" i="1"/>
  <c r="AC638" i="1"/>
  <c r="BN851" i="1" l="1"/>
  <c r="BW852" i="1"/>
  <c r="AX851" i="1"/>
  <c r="BR827" i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W853" i="1" l="1"/>
  <c r="BW854" i="1" s="1"/>
  <c r="AX852" i="1"/>
  <c r="BN852" i="1"/>
  <c r="BR828" i="1"/>
  <c r="BP829" i="1"/>
  <c r="AE818" i="1"/>
  <c r="AA819" i="1"/>
  <c r="AE817" i="1"/>
  <c r="H641" i="1"/>
  <c r="J641" i="1"/>
  <c r="O640" i="1"/>
  <c r="AV640" i="1"/>
  <c r="AC640" i="1"/>
  <c r="BN854" i="1" l="1"/>
  <c r="BW855" i="1"/>
  <c r="AX854" i="1"/>
  <c r="BN853" i="1"/>
  <c r="AX853" i="1"/>
  <c r="BR829" i="1"/>
  <c r="BP830" i="1"/>
  <c r="AE819" i="1"/>
  <c r="AA820" i="1"/>
  <c r="J642" i="1"/>
  <c r="H642" i="1"/>
  <c r="O641" i="1"/>
  <c r="AV641" i="1"/>
  <c r="AC641" i="1"/>
  <c r="BN855" i="1" l="1"/>
  <c r="BW856" i="1"/>
  <c r="BW857" i="1" s="1"/>
  <c r="AX855" i="1"/>
  <c r="BR830" i="1"/>
  <c r="BP831" i="1"/>
  <c r="BP832" i="1" s="1"/>
  <c r="AE820" i="1"/>
  <c r="AA821" i="1"/>
  <c r="AA822" i="1" s="1"/>
  <c r="J643" i="1"/>
  <c r="AV642" i="1"/>
  <c r="H643" i="1"/>
  <c r="O642" i="1"/>
  <c r="AC642" i="1"/>
  <c r="BN857" i="1" l="1"/>
  <c r="BW858" i="1"/>
  <c r="AX857" i="1"/>
  <c r="BN856" i="1"/>
  <c r="AX856" i="1"/>
  <c r="BR832" i="1"/>
  <c r="BP833" i="1"/>
  <c r="BR831" i="1"/>
  <c r="AE822" i="1"/>
  <c r="AA823" i="1"/>
  <c r="AE821" i="1"/>
  <c r="J644" i="1"/>
  <c r="H644" i="1"/>
  <c r="AV643" i="1"/>
  <c r="O643" i="1"/>
  <c r="AC643" i="1"/>
  <c r="BN858" i="1" l="1"/>
  <c r="AX858" i="1"/>
  <c r="BW859" i="1"/>
  <c r="BW860" i="1" s="1"/>
  <c r="BR833" i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W861" i="1" l="1"/>
  <c r="BN860" i="1"/>
  <c r="AX860" i="1"/>
  <c r="BN859" i="1"/>
  <c r="AX859" i="1"/>
  <c r="BW912" i="1"/>
  <c r="BR834" i="1"/>
  <c r="BP835" i="1"/>
  <c r="AE825" i="1"/>
  <c r="AA826" i="1"/>
  <c r="AE824" i="1"/>
  <c r="J646" i="1"/>
  <c r="H646" i="1"/>
  <c r="O645" i="1"/>
  <c r="AV645" i="1"/>
  <c r="AC645" i="1"/>
  <c r="BW862" i="1" l="1"/>
  <c r="AX861" i="1"/>
  <c r="BN861" i="1"/>
  <c r="BR835" i="1"/>
  <c r="BP836" i="1"/>
  <c r="AE826" i="1"/>
  <c r="AA827" i="1"/>
  <c r="O646" i="1"/>
  <c r="AV646" i="1"/>
  <c r="J647" i="1"/>
  <c r="H647" i="1"/>
  <c r="AC646" i="1"/>
  <c r="BN862" i="1" l="1"/>
  <c r="BW863" i="1"/>
  <c r="AX862" i="1"/>
  <c r="BR836" i="1"/>
  <c r="BP837" i="1"/>
  <c r="AE827" i="1"/>
  <c r="AA828" i="1"/>
  <c r="H648" i="1"/>
  <c r="J648" i="1"/>
  <c r="AV647" i="1"/>
  <c r="O647" i="1"/>
  <c r="AC647" i="1"/>
  <c r="BN863" i="1" l="1"/>
  <c r="BW864" i="1"/>
  <c r="BW865" i="1" s="1"/>
  <c r="AX863" i="1"/>
  <c r="BR837" i="1"/>
  <c r="BP838" i="1"/>
  <c r="BP839" i="1" s="1"/>
  <c r="AE828" i="1"/>
  <c r="AA829" i="1"/>
  <c r="AV648" i="1"/>
  <c r="J649" i="1"/>
  <c r="H649" i="1"/>
  <c r="O648" i="1"/>
  <c r="AC648" i="1"/>
  <c r="BN865" i="1" l="1"/>
  <c r="BW866" i="1"/>
  <c r="BW867" i="1" s="1"/>
  <c r="AX865" i="1"/>
  <c r="AX864" i="1"/>
  <c r="BN864" i="1"/>
  <c r="BR839" i="1"/>
  <c r="BP840" i="1"/>
  <c r="BR838" i="1"/>
  <c r="AE829" i="1"/>
  <c r="AA830" i="1"/>
  <c r="J650" i="1"/>
  <c r="H650" i="1"/>
  <c r="O649" i="1"/>
  <c r="AV649" i="1"/>
  <c r="AC649" i="1"/>
  <c r="BN867" i="1" l="1"/>
  <c r="BW868" i="1"/>
  <c r="AX867" i="1"/>
  <c r="BN866" i="1"/>
  <c r="AX866" i="1"/>
  <c r="BR840" i="1"/>
  <c r="BP841" i="1"/>
  <c r="AE830" i="1"/>
  <c r="AA831" i="1"/>
  <c r="AA832" i="1" s="1"/>
  <c r="O650" i="1"/>
  <c r="H651" i="1"/>
  <c r="J651" i="1"/>
  <c r="AV650" i="1"/>
  <c r="AC650" i="1"/>
  <c r="BN868" i="1" l="1"/>
  <c r="BW869" i="1"/>
  <c r="AX868" i="1"/>
  <c r="BR841" i="1"/>
  <c r="BP842" i="1"/>
  <c r="AE832" i="1"/>
  <c r="AA833" i="1"/>
  <c r="AE831" i="1"/>
  <c r="O651" i="1"/>
  <c r="H652" i="1"/>
  <c r="J652" i="1"/>
  <c r="AV651" i="1"/>
  <c r="AC651" i="1"/>
  <c r="BN869" i="1" l="1"/>
  <c r="BW870" i="1"/>
  <c r="AX869" i="1"/>
  <c r="BR842" i="1"/>
  <c r="BP843" i="1"/>
  <c r="BP844" i="1" s="1"/>
  <c r="AA834" i="1"/>
  <c r="AE833" i="1"/>
  <c r="J653" i="1"/>
  <c r="H653" i="1"/>
  <c r="O652" i="1"/>
  <c r="AV652" i="1"/>
  <c r="AC652" i="1"/>
  <c r="AA606" i="3"/>
  <c r="AA605" i="3"/>
  <c r="BN870" i="1" l="1"/>
  <c r="BW871" i="1"/>
  <c r="BW872" i="1" s="1"/>
  <c r="AX870" i="1"/>
  <c r="BR844" i="1"/>
  <c r="BP845" i="1"/>
  <c r="BR843" i="1"/>
  <c r="AE834" i="1"/>
  <c r="AA835" i="1"/>
  <c r="O653" i="1"/>
  <c r="H654" i="1"/>
  <c r="J654" i="1"/>
  <c r="AV653" i="1"/>
  <c r="AC653" i="1"/>
  <c r="AA607" i="3"/>
  <c r="BN872" i="1" l="1"/>
  <c r="BW873" i="1"/>
  <c r="AX872" i="1"/>
  <c r="BN871" i="1"/>
  <c r="AX871" i="1"/>
  <c r="BR845" i="1"/>
  <c r="BP846" i="1"/>
  <c r="BP847" i="1" s="1"/>
  <c r="AE835" i="1"/>
  <c r="AA836" i="1"/>
  <c r="O654" i="1"/>
  <c r="J655" i="1"/>
  <c r="H655" i="1"/>
  <c r="AV654" i="1"/>
  <c r="AC654" i="1"/>
  <c r="BN873" i="1" l="1"/>
  <c r="BW874" i="1"/>
  <c r="BW875" i="1" s="1"/>
  <c r="AX873" i="1"/>
  <c r="BR847" i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N875" i="1" l="1"/>
  <c r="BW876" i="1"/>
  <c r="AX875" i="1"/>
  <c r="BN874" i="1"/>
  <c r="AX874" i="1"/>
  <c r="BR848" i="1"/>
  <c r="BP849" i="1"/>
  <c r="BP850" i="1" s="1"/>
  <c r="AE837" i="1"/>
  <c r="AA838" i="1"/>
  <c r="AA839" i="1" s="1"/>
  <c r="AV656" i="1"/>
  <c r="J657" i="1"/>
  <c r="H657" i="1"/>
  <c r="O656" i="1"/>
  <c r="AC656" i="1"/>
  <c r="BN876" i="1" l="1"/>
  <c r="BW877" i="1"/>
  <c r="AX876" i="1"/>
  <c r="BR850" i="1"/>
  <c r="BP851" i="1"/>
  <c r="BR849" i="1"/>
  <c r="AA840" i="1"/>
  <c r="AE839" i="1"/>
  <c r="AE838" i="1"/>
  <c r="J658" i="1"/>
  <c r="H658" i="1"/>
  <c r="AV657" i="1"/>
  <c r="O657" i="1"/>
  <c r="AC657" i="1"/>
  <c r="BN877" i="1" l="1"/>
  <c r="BW878" i="1"/>
  <c r="AX877" i="1"/>
  <c r="BR851" i="1"/>
  <c r="BP852" i="1"/>
  <c r="AE840" i="1"/>
  <c r="AA841" i="1"/>
  <c r="O658" i="1"/>
  <c r="J659" i="1"/>
  <c r="AV658" i="1"/>
  <c r="H659" i="1"/>
  <c r="AC658" i="1"/>
  <c r="BN878" i="1" l="1"/>
  <c r="AX878" i="1"/>
  <c r="BW879" i="1"/>
  <c r="BR852" i="1"/>
  <c r="BP853" i="1"/>
  <c r="BP854" i="1" s="1"/>
  <c r="AE841" i="1"/>
  <c r="AA842" i="1"/>
  <c r="AV659" i="1"/>
  <c r="H660" i="1"/>
  <c r="J660" i="1"/>
  <c r="O659" i="1"/>
  <c r="AC659" i="1"/>
  <c r="AA615" i="3"/>
  <c r="AA616" i="3"/>
  <c r="AA613" i="3"/>
  <c r="AA614" i="3"/>
  <c r="AA612" i="3"/>
  <c r="BN879" i="1" l="1"/>
  <c r="BW880" i="1"/>
  <c r="BW881" i="1" s="1"/>
  <c r="AX879" i="1"/>
  <c r="BR854" i="1"/>
  <c r="BP855" i="1"/>
  <c r="BR853" i="1"/>
  <c r="AE842" i="1"/>
  <c r="AA843" i="1"/>
  <c r="AA844" i="1" s="1"/>
  <c r="AV660" i="1"/>
  <c r="H661" i="1"/>
  <c r="J661" i="1"/>
  <c r="O660" i="1"/>
  <c r="AC660" i="1"/>
  <c r="BN881" i="1" l="1"/>
  <c r="BW882" i="1"/>
  <c r="AX881" i="1"/>
  <c r="BN880" i="1"/>
  <c r="AX880" i="1"/>
  <c r="BR855" i="1"/>
  <c r="BP856" i="1"/>
  <c r="BP857" i="1" s="1"/>
  <c r="AA845" i="1"/>
  <c r="AE844" i="1"/>
  <c r="AE843" i="1"/>
  <c r="H662" i="1"/>
  <c r="J662" i="1"/>
  <c r="O661" i="1"/>
  <c r="AV661" i="1"/>
  <c r="AC661" i="1"/>
  <c r="AX882" i="1" l="1"/>
  <c r="BW883" i="1"/>
  <c r="BN882" i="1"/>
  <c r="BR857" i="1"/>
  <c r="BP858" i="1"/>
  <c r="BR856" i="1"/>
  <c r="AA846" i="1"/>
  <c r="AA847" i="1" s="1"/>
  <c r="AE845" i="1"/>
  <c r="O662" i="1"/>
  <c r="AV662" i="1"/>
  <c r="J663" i="1"/>
  <c r="H663" i="1"/>
  <c r="AC662" i="1"/>
  <c r="BN883" i="1" l="1"/>
  <c r="BW884" i="1"/>
  <c r="AX883" i="1"/>
  <c r="BR858" i="1"/>
  <c r="BP859" i="1"/>
  <c r="BP860" i="1" s="1"/>
  <c r="AA848" i="1"/>
  <c r="AE847" i="1"/>
  <c r="AE846" i="1"/>
  <c r="O663" i="1"/>
  <c r="J664" i="1"/>
  <c r="H664" i="1"/>
  <c r="AV663" i="1"/>
  <c r="AC663" i="1"/>
  <c r="BN884" i="1" l="1"/>
  <c r="BW885" i="1"/>
  <c r="AX884" i="1"/>
  <c r="BP861" i="1"/>
  <c r="BR860" i="1"/>
  <c r="BR859" i="1"/>
  <c r="AE848" i="1"/>
  <c r="AA849" i="1"/>
  <c r="AA850" i="1" s="1"/>
  <c r="H665" i="1"/>
  <c r="J665" i="1"/>
  <c r="O664" i="1"/>
  <c r="AV664" i="1"/>
  <c r="AC664" i="1"/>
  <c r="AA618" i="3"/>
  <c r="AA617" i="3"/>
  <c r="BN885" i="1" l="1"/>
  <c r="BW886" i="1"/>
  <c r="AX885" i="1"/>
  <c r="BR861" i="1"/>
  <c r="BP862" i="1"/>
  <c r="AE850" i="1"/>
  <c r="AA851" i="1"/>
  <c r="AE849" i="1"/>
  <c r="O665" i="1"/>
  <c r="J666" i="1"/>
  <c r="H666" i="1"/>
  <c r="AV665" i="1"/>
  <c r="AC665" i="1"/>
  <c r="AA619" i="3"/>
  <c r="BN886" i="1" l="1"/>
  <c r="BW887" i="1"/>
  <c r="BW888" i="1" s="1"/>
  <c r="AX886" i="1"/>
  <c r="BR862" i="1"/>
  <c r="BP863" i="1"/>
  <c r="AE851" i="1"/>
  <c r="AA852" i="1"/>
  <c r="AV666" i="1"/>
  <c r="H667" i="1"/>
  <c r="J667" i="1"/>
  <c r="O666" i="1"/>
  <c r="AC666" i="1"/>
  <c r="AX888" i="1" l="1"/>
  <c r="BW889" i="1"/>
  <c r="BN888" i="1"/>
  <c r="BN887" i="1"/>
  <c r="AX887" i="1"/>
  <c r="BR863" i="1"/>
  <c r="BP864" i="1"/>
  <c r="BP865" i="1" s="1"/>
  <c r="AE852" i="1"/>
  <c r="AA853" i="1"/>
  <c r="AA854" i="1" s="1"/>
  <c r="AV667" i="1"/>
  <c r="H668" i="1"/>
  <c r="J668" i="1"/>
  <c r="O667" i="1"/>
  <c r="AC667" i="1"/>
  <c r="AA621" i="3"/>
  <c r="AA622" i="3"/>
  <c r="AA620" i="3"/>
  <c r="BN889" i="1" l="1"/>
  <c r="BW890" i="1"/>
  <c r="AX889" i="1"/>
  <c r="BR865" i="1"/>
  <c r="BP866" i="1"/>
  <c r="BP867" i="1" s="1"/>
  <c r="BR864" i="1"/>
  <c r="AA855" i="1"/>
  <c r="AE854" i="1"/>
  <c r="AE853" i="1"/>
  <c r="J669" i="1"/>
  <c r="H669" i="1"/>
  <c r="O668" i="1"/>
  <c r="AV668" i="1"/>
  <c r="AC668" i="1"/>
  <c r="BW891" i="1" l="1"/>
  <c r="BN890" i="1"/>
  <c r="AX890" i="1"/>
  <c r="BR867" i="1"/>
  <c r="BP868" i="1"/>
  <c r="BR866" i="1"/>
  <c r="AE855" i="1"/>
  <c r="AA856" i="1"/>
  <c r="AA857" i="1" s="1"/>
  <c r="AV669" i="1"/>
  <c r="J670" i="1"/>
  <c r="H670" i="1"/>
  <c r="O669" i="1"/>
  <c r="AC669" i="1"/>
  <c r="BN891" i="1" l="1"/>
  <c r="BW892" i="1"/>
  <c r="BW893" i="1" s="1"/>
  <c r="AX891" i="1"/>
  <c r="BR868" i="1"/>
  <c r="BP869" i="1"/>
  <c r="AE857" i="1"/>
  <c r="AA858" i="1"/>
  <c r="AE856" i="1"/>
  <c r="O670" i="1"/>
  <c r="J671" i="1"/>
  <c r="H671" i="1"/>
  <c r="AV670" i="1"/>
  <c r="AC670" i="1"/>
  <c r="BN893" i="1" l="1"/>
  <c r="AX893" i="1"/>
  <c r="BW894" i="1"/>
  <c r="BW895" i="1" s="1"/>
  <c r="BN892" i="1"/>
  <c r="AX892" i="1"/>
  <c r="BR869" i="1"/>
  <c r="BP870" i="1"/>
  <c r="AA859" i="1"/>
  <c r="AA860" i="1" s="1"/>
  <c r="AE858" i="1"/>
  <c r="AV671" i="1"/>
  <c r="H672" i="1"/>
  <c r="J672" i="1"/>
  <c r="O671" i="1"/>
  <c r="AC671" i="1"/>
  <c r="AA625" i="3"/>
  <c r="AA626" i="3"/>
  <c r="AA623" i="3"/>
  <c r="BN895" i="1" l="1"/>
  <c r="AX895" i="1"/>
  <c r="BW896" i="1"/>
  <c r="BN894" i="1"/>
  <c r="AX894" i="1"/>
  <c r="BR870" i="1"/>
  <c r="BP871" i="1"/>
  <c r="BP872" i="1" s="1"/>
  <c r="AE860" i="1"/>
  <c r="AA861" i="1"/>
  <c r="AE859" i="1"/>
  <c r="J673" i="1"/>
  <c r="H673" i="1"/>
  <c r="O672" i="1"/>
  <c r="AV672" i="1"/>
  <c r="AC672" i="1"/>
  <c r="AA624" i="3"/>
  <c r="BN896" i="1" l="1"/>
  <c r="BW897" i="1"/>
  <c r="AX896" i="1"/>
  <c r="BR872" i="1"/>
  <c r="BP873" i="1"/>
  <c r="BR871" i="1"/>
  <c r="AA862" i="1"/>
  <c r="AE861" i="1"/>
  <c r="AV673" i="1"/>
  <c r="J674" i="1"/>
  <c r="H674" i="1"/>
  <c r="O673" i="1"/>
  <c r="AC673" i="1"/>
  <c r="BN897" i="1" l="1"/>
  <c r="BW898" i="1"/>
  <c r="AX897" i="1"/>
  <c r="BR873" i="1"/>
  <c r="BP874" i="1"/>
  <c r="BP875" i="1" s="1"/>
  <c r="AE862" i="1"/>
  <c r="AA863" i="1"/>
  <c r="H675" i="1"/>
  <c r="J675" i="1"/>
  <c r="O674" i="1"/>
  <c r="AV674" i="1"/>
  <c r="AC674" i="1"/>
  <c r="BN898" i="1" l="1"/>
  <c r="AX898" i="1"/>
  <c r="BW899" i="1"/>
  <c r="BR875" i="1"/>
  <c r="BP876" i="1"/>
  <c r="BR874" i="1"/>
  <c r="AE863" i="1"/>
  <c r="AA864" i="1"/>
  <c r="AA865" i="1" s="1"/>
  <c r="O675" i="1"/>
  <c r="AV675" i="1"/>
  <c r="J676" i="1"/>
  <c r="H676" i="1"/>
  <c r="AC675" i="1"/>
  <c r="AA628" i="3"/>
  <c r="AA627" i="3"/>
  <c r="BN899" i="1" l="1"/>
  <c r="AX899" i="1"/>
  <c r="BW900" i="1"/>
  <c r="BR876" i="1"/>
  <c r="BP877" i="1"/>
  <c r="AA866" i="1"/>
  <c r="AA867" i="1" s="1"/>
  <c r="AE865" i="1"/>
  <c r="AE864" i="1"/>
  <c r="O676" i="1"/>
  <c r="J677" i="1"/>
  <c r="H677" i="1"/>
  <c r="AV676" i="1"/>
  <c r="AC676" i="1"/>
  <c r="BN900" i="1" l="1"/>
  <c r="BW901" i="1"/>
  <c r="BW902" i="1" s="1"/>
  <c r="AX900" i="1"/>
  <c r="BR877" i="1"/>
  <c r="BP878" i="1"/>
  <c r="AE867" i="1"/>
  <c r="AA868" i="1"/>
  <c r="AE866" i="1"/>
  <c r="O677" i="1"/>
  <c r="H678" i="1"/>
  <c r="J678" i="1"/>
  <c r="AV677" i="1"/>
  <c r="AC677" i="1"/>
  <c r="AA632" i="3"/>
  <c r="AA633" i="3"/>
  <c r="AA630" i="3"/>
  <c r="AA631" i="3"/>
  <c r="AA629" i="3"/>
  <c r="BN902" i="1" l="1"/>
  <c r="BW903" i="1"/>
  <c r="AX902" i="1"/>
  <c r="BN901" i="1"/>
  <c r="AX901" i="1"/>
  <c r="BR878" i="1"/>
  <c r="BP879" i="1"/>
  <c r="AA869" i="1"/>
  <c r="AE868" i="1"/>
  <c r="AV678" i="1"/>
  <c r="J679" i="1"/>
  <c r="H679" i="1"/>
  <c r="O678" i="1"/>
  <c r="AC678" i="1"/>
  <c r="BN903" i="1" l="1"/>
  <c r="AX903" i="1"/>
  <c r="BW904" i="1"/>
  <c r="BP880" i="1"/>
  <c r="BP881" i="1" s="1"/>
  <c r="BR879" i="1"/>
  <c r="AA870" i="1"/>
  <c r="AE869" i="1"/>
  <c r="J680" i="1"/>
  <c r="H680" i="1"/>
  <c r="O679" i="1"/>
  <c r="AV679" i="1"/>
  <c r="AC679" i="1"/>
  <c r="BN904" i="1" l="1"/>
  <c r="BW905" i="1"/>
  <c r="AX904" i="1"/>
  <c r="BP882" i="1"/>
  <c r="BR881" i="1"/>
  <c r="BR880" i="1"/>
  <c r="AA871" i="1"/>
  <c r="AA872" i="1" s="1"/>
  <c r="AE870" i="1"/>
  <c r="AV680" i="1"/>
  <c r="J681" i="1"/>
  <c r="H681" i="1"/>
  <c r="O680" i="1"/>
  <c r="AC680" i="1"/>
  <c r="BW906" i="1" l="1"/>
  <c r="AX905" i="1"/>
  <c r="BN905" i="1"/>
  <c r="BR882" i="1"/>
  <c r="BP883" i="1"/>
  <c r="AA873" i="1"/>
  <c r="AE872" i="1"/>
  <c r="AE871" i="1"/>
  <c r="O681" i="1"/>
  <c r="J682" i="1"/>
  <c r="H682" i="1"/>
  <c r="AV681" i="1"/>
  <c r="AC681" i="1"/>
  <c r="BN906" i="1" l="1"/>
  <c r="BW907" i="1"/>
  <c r="AX906" i="1"/>
  <c r="BR883" i="1"/>
  <c r="BP884" i="1"/>
  <c r="AA874" i="1"/>
  <c r="AA875" i="1" s="1"/>
  <c r="AE873" i="1"/>
  <c r="AC682" i="1"/>
  <c r="H683" i="1"/>
  <c r="O682" i="1"/>
  <c r="J683" i="1"/>
  <c r="AV682" i="1"/>
  <c r="AA637" i="3"/>
  <c r="AA638" i="3"/>
  <c r="AA635" i="3"/>
  <c r="AA636" i="3"/>
  <c r="AA634" i="3"/>
  <c r="BN907" i="1" l="1"/>
  <c r="AX907" i="1"/>
  <c r="BR884" i="1"/>
  <c r="BP885" i="1"/>
  <c r="AA876" i="1"/>
  <c r="AE875" i="1"/>
  <c r="AE874" i="1"/>
  <c r="H684" i="1"/>
  <c r="J684" i="1"/>
  <c r="AV683" i="1"/>
  <c r="O683" i="1"/>
  <c r="AC683" i="1"/>
  <c r="BR885" i="1" l="1"/>
  <c r="BP886" i="1"/>
  <c r="AE876" i="1"/>
  <c r="AA877" i="1"/>
  <c r="O684" i="1"/>
  <c r="J685" i="1"/>
  <c r="H685" i="1"/>
  <c r="AV684" i="1"/>
  <c r="AC684" i="1"/>
  <c r="BR886" i="1" l="1"/>
  <c r="BP887" i="1"/>
  <c r="BP888" i="1" s="1"/>
  <c r="AA878" i="1"/>
  <c r="AE877" i="1"/>
  <c r="O685" i="1"/>
  <c r="J686" i="1"/>
  <c r="H686" i="1"/>
  <c r="AV685" i="1"/>
  <c r="AC685" i="1"/>
  <c r="BR888" i="1" l="1"/>
  <c r="BP889" i="1"/>
  <c r="BR887" i="1"/>
  <c r="AE878" i="1"/>
  <c r="AA879" i="1"/>
  <c r="J687" i="1"/>
  <c r="H687" i="1"/>
  <c r="O686" i="1"/>
  <c r="AV686" i="1"/>
  <c r="AC686" i="1"/>
  <c r="AA640" i="3"/>
  <c r="AA641" i="3"/>
  <c r="BR889" i="1" l="1"/>
  <c r="BP890" i="1"/>
  <c r="AE879" i="1"/>
  <c r="AA880" i="1"/>
  <c r="AA881" i="1" s="1"/>
  <c r="O687" i="1"/>
  <c r="J688" i="1"/>
  <c r="H688" i="1"/>
  <c r="AV687" i="1"/>
  <c r="AC687" i="1"/>
  <c r="BR890" i="1" l="1"/>
  <c r="BP891" i="1"/>
  <c r="AE881" i="1"/>
  <c r="AA882" i="1"/>
  <c r="AE880" i="1"/>
  <c r="O688" i="1"/>
  <c r="J689" i="1"/>
  <c r="H689" i="1"/>
  <c r="AV688" i="1"/>
  <c r="AC688" i="1"/>
  <c r="BR891" i="1" l="1"/>
  <c r="BP892" i="1"/>
  <c r="BP893" i="1" s="1"/>
  <c r="AE882" i="1"/>
  <c r="AA883" i="1"/>
  <c r="O689" i="1"/>
  <c r="J690" i="1"/>
  <c r="H690" i="1"/>
  <c r="AV689" i="1"/>
  <c r="AC689" i="1"/>
  <c r="AA642" i="3"/>
  <c r="BR893" i="1" l="1"/>
  <c r="BP894" i="1"/>
  <c r="BP895" i="1" s="1"/>
  <c r="BR892" i="1"/>
  <c r="AE883" i="1"/>
  <c r="AA884" i="1"/>
  <c r="J691" i="1"/>
  <c r="H691" i="1"/>
  <c r="AV690" i="1"/>
  <c r="O690" i="1"/>
  <c r="AC690" i="1"/>
  <c r="AA643" i="3"/>
  <c r="AA644" i="3"/>
  <c r="BR895" i="1" l="1"/>
  <c r="BP896" i="1"/>
  <c r="BR894" i="1"/>
  <c r="AE884" i="1"/>
  <c r="AA885" i="1"/>
  <c r="AV691" i="1"/>
  <c r="J692" i="1"/>
  <c r="H692" i="1"/>
  <c r="O691" i="1"/>
  <c r="AC691" i="1"/>
  <c r="BR896" i="1" l="1"/>
  <c r="BP897" i="1"/>
  <c r="AE885" i="1"/>
  <c r="AA886" i="1"/>
  <c r="AV692" i="1"/>
  <c r="J693" i="1"/>
  <c r="H693" i="1"/>
  <c r="O692" i="1"/>
  <c r="AC692" i="1"/>
  <c r="AA646" i="3"/>
  <c r="AA647" i="3"/>
  <c r="AA645" i="3"/>
  <c r="BR897" i="1" l="1"/>
  <c r="BP898" i="1"/>
  <c r="AA887" i="1"/>
  <c r="AA888" i="1" s="1"/>
  <c r="AE886" i="1"/>
  <c r="J694" i="1"/>
  <c r="H694" i="1"/>
  <c r="AV693" i="1"/>
  <c r="O693" i="1"/>
  <c r="AC693" i="1"/>
  <c r="BR898" i="1" l="1"/>
  <c r="BP899" i="1"/>
  <c r="AE888" i="1"/>
  <c r="AA889" i="1"/>
  <c r="AE887" i="1"/>
  <c r="O694" i="1"/>
  <c r="J695" i="1"/>
  <c r="H695" i="1"/>
  <c r="AV694" i="1"/>
  <c r="AC694" i="1"/>
  <c r="BR899" i="1" l="1"/>
  <c r="BP900" i="1"/>
  <c r="AE889" i="1"/>
  <c r="AA890" i="1"/>
  <c r="O695" i="1"/>
  <c r="J696" i="1"/>
  <c r="H696" i="1"/>
  <c r="AV695" i="1"/>
  <c r="AC695" i="1"/>
  <c r="AA653" i="3"/>
  <c r="AA651" i="3"/>
  <c r="AA652" i="3"/>
  <c r="AA649" i="3"/>
  <c r="AA650" i="3"/>
  <c r="AA648" i="3"/>
  <c r="BP901" i="1" l="1"/>
  <c r="BP902" i="1" s="1"/>
  <c r="BR900" i="1"/>
  <c r="AA891" i="1"/>
  <c r="AE890" i="1"/>
  <c r="O696" i="1"/>
  <c r="J697" i="1"/>
  <c r="H697" i="1"/>
  <c r="AV696" i="1"/>
  <c r="AC696" i="1"/>
  <c r="BR902" i="1" l="1"/>
  <c r="BP903" i="1"/>
  <c r="BR901" i="1"/>
  <c r="AE891" i="1"/>
  <c r="AA892" i="1"/>
  <c r="AA893" i="1" s="1"/>
  <c r="AV697" i="1"/>
  <c r="J698" i="1"/>
  <c r="H698" i="1"/>
  <c r="O697" i="1"/>
  <c r="AC697" i="1"/>
  <c r="BR903" i="1" l="1"/>
  <c r="BP904" i="1"/>
  <c r="AE893" i="1"/>
  <c r="AA894" i="1"/>
  <c r="AA895" i="1" s="1"/>
  <c r="AE892" i="1"/>
  <c r="J699" i="1"/>
  <c r="H699" i="1"/>
  <c r="O698" i="1"/>
  <c r="AV698" i="1"/>
  <c r="AC698" i="1"/>
  <c r="BR904" i="1" l="1"/>
  <c r="BP905" i="1"/>
  <c r="AA896" i="1"/>
  <c r="AE895" i="1"/>
  <c r="AE894" i="1"/>
  <c r="AV699" i="1"/>
  <c r="H700" i="1"/>
  <c r="J700" i="1"/>
  <c r="O699" i="1"/>
  <c r="AC699" i="1"/>
  <c r="BR905" i="1" l="1"/>
  <c r="BP906" i="1"/>
  <c r="AA897" i="1"/>
  <c r="AE896" i="1"/>
  <c r="O700" i="1"/>
  <c r="J701" i="1"/>
  <c r="H701" i="1"/>
  <c r="AV700" i="1"/>
  <c r="AC700" i="1"/>
  <c r="BR906" i="1" l="1"/>
  <c r="BP907" i="1"/>
  <c r="AE897" i="1"/>
  <c r="AA898" i="1"/>
  <c r="J702" i="1"/>
  <c r="H702" i="1"/>
  <c r="O701" i="1"/>
  <c r="AV701" i="1"/>
  <c r="AC701" i="1"/>
  <c r="AA655" i="3"/>
  <c r="AA654" i="3"/>
  <c r="BR907" i="1" l="1"/>
  <c r="AE898" i="1"/>
  <c r="AA899" i="1"/>
  <c r="J703" i="1"/>
  <c r="H703" i="1"/>
  <c r="AV702" i="1"/>
  <c r="O702" i="1"/>
  <c r="AC702" i="1"/>
  <c r="AE899" i="1" l="1"/>
  <c r="AA900" i="1"/>
  <c r="O703" i="1"/>
  <c r="J704" i="1"/>
  <c r="H704" i="1"/>
  <c r="AV703" i="1"/>
  <c r="AC703" i="1"/>
  <c r="AA656" i="3"/>
  <c r="AE900" i="1" l="1"/>
  <c r="AA901" i="1"/>
  <c r="AA902" i="1" s="1"/>
  <c r="J705" i="1"/>
  <c r="H705" i="1"/>
  <c r="O704" i="1"/>
  <c r="AV704" i="1"/>
  <c r="AC704" i="1"/>
  <c r="AE902" i="1" l="1"/>
  <c r="AA903" i="1"/>
  <c r="AE901" i="1"/>
  <c r="J706" i="1"/>
  <c r="H706" i="1"/>
  <c r="AV705" i="1"/>
  <c r="O705" i="1"/>
  <c r="AC705" i="1"/>
  <c r="AA658" i="3"/>
  <c r="AA659" i="3"/>
  <c r="AA657" i="3"/>
  <c r="AE903" i="1" l="1"/>
  <c r="AA904" i="1"/>
  <c r="O706" i="1"/>
  <c r="J707" i="1"/>
  <c r="H707" i="1"/>
  <c r="AV706" i="1"/>
  <c r="AC706" i="1"/>
  <c r="AE904" i="1" l="1"/>
  <c r="AA905" i="1"/>
  <c r="O707" i="1"/>
  <c r="J708" i="1"/>
  <c r="H708" i="1"/>
  <c r="AV707" i="1"/>
  <c r="AC707" i="1"/>
  <c r="AA663" i="3"/>
  <c r="AA664" i="3"/>
  <c r="AA661" i="3"/>
  <c r="AA662" i="3"/>
  <c r="AA660" i="3"/>
  <c r="AE905" i="1" l="1"/>
  <c r="AA906" i="1"/>
  <c r="O708" i="1"/>
  <c r="H709" i="1"/>
  <c r="J709" i="1"/>
  <c r="AV708" i="1"/>
  <c r="AC708" i="1"/>
  <c r="AE906" i="1" l="1"/>
  <c r="AA907" i="1"/>
  <c r="O709" i="1"/>
  <c r="J710" i="1"/>
  <c r="H710" i="1"/>
  <c r="AV709" i="1"/>
  <c r="AC709" i="1"/>
  <c r="AE907" i="1" l="1"/>
  <c r="H711" i="1"/>
  <c r="J711" i="1"/>
  <c r="O710" i="1"/>
  <c r="AV710" i="1"/>
  <c r="AC710" i="1"/>
  <c r="AJ21" i="2" l="1"/>
  <c r="I21" i="3"/>
  <c r="I35" i="3" s="1"/>
  <c r="AD49" i="2"/>
  <c r="AD51" i="2" s="1"/>
  <c r="AD53" i="2" s="1"/>
  <c r="AD55" i="2" s="1"/>
  <c r="AD57" i="2" s="1"/>
  <c r="O711" i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AV836" i="1"/>
  <c r="J837" i="1"/>
  <c r="AC836" i="1"/>
  <c r="AV837" i="1" l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J850" i="1" l="1"/>
  <c r="H850" i="1"/>
  <c r="O849" i="1"/>
  <c r="AV849" i="1"/>
  <c r="AC849" i="1"/>
  <c r="AA803" i="3"/>
  <c r="AA802" i="3"/>
  <c r="AV850" i="1" l="1"/>
  <c r="J851" i="1"/>
  <c r="H851" i="1"/>
  <c r="O850" i="1"/>
  <c r="AC850" i="1"/>
  <c r="AV851" i="1" l="1"/>
  <c r="J852" i="1"/>
  <c r="H852" i="1"/>
  <c r="O851" i="1"/>
  <c r="AC851" i="1"/>
  <c r="AV852" i="1" l="1"/>
  <c r="H853" i="1"/>
  <c r="J853" i="1"/>
  <c r="O852" i="1"/>
  <c r="AC852" i="1"/>
  <c r="AA807" i="3"/>
  <c r="AE793" i="3"/>
  <c r="AF793" i="3" s="1"/>
  <c r="AE777" i="3"/>
  <c r="AF777" i="3" s="1"/>
  <c r="AA805" i="3"/>
  <c r="AA806" i="3"/>
  <c r="AA804" i="3"/>
  <c r="J854" i="1" l="1"/>
  <c r="H854" i="1"/>
  <c r="O853" i="1"/>
  <c r="AV853" i="1"/>
  <c r="AC853" i="1"/>
  <c r="AV854" i="1" l="1"/>
  <c r="H855" i="1"/>
  <c r="J855" i="1"/>
  <c r="O854" i="1"/>
  <c r="AC854" i="1"/>
  <c r="AV855" i="1" l="1"/>
  <c r="J856" i="1"/>
  <c r="H856" i="1"/>
  <c r="O855" i="1"/>
  <c r="AC855" i="1"/>
  <c r="J857" i="1" l="1"/>
  <c r="H857" i="1"/>
  <c r="O856" i="1"/>
  <c r="AV856" i="1"/>
  <c r="AC856" i="1"/>
  <c r="AA811" i="3"/>
  <c r="AA809" i="3"/>
  <c r="AA810" i="3"/>
  <c r="AA808" i="3"/>
  <c r="O857" i="1" l="1"/>
  <c r="H858" i="1"/>
  <c r="J858" i="1"/>
  <c r="AV857" i="1"/>
  <c r="AC857" i="1"/>
  <c r="O858" i="1" l="1"/>
  <c r="AV858" i="1"/>
  <c r="H859" i="1"/>
  <c r="J859" i="1"/>
  <c r="AC858" i="1"/>
  <c r="H860" i="1" l="1"/>
  <c r="J860" i="1"/>
  <c r="O859" i="1"/>
  <c r="AV859" i="1"/>
  <c r="AC859" i="1"/>
  <c r="AA812" i="3"/>
  <c r="J861" i="1" l="1"/>
  <c r="H861" i="1"/>
  <c r="AV860" i="1"/>
  <c r="O860" i="1"/>
  <c r="AC860" i="1"/>
  <c r="AA813" i="3"/>
  <c r="AV861" i="1" l="1"/>
  <c r="J862" i="1"/>
  <c r="H862" i="1"/>
  <c r="O861" i="1"/>
  <c r="AC861" i="1"/>
  <c r="J863" i="1" l="1"/>
  <c r="H863" i="1"/>
  <c r="AV862" i="1"/>
  <c r="O862" i="1"/>
  <c r="AC862" i="1"/>
  <c r="AA818" i="3"/>
  <c r="AA819" i="3"/>
  <c r="AA816" i="3"/>
  <c r="O863" i="1" l="1"/>
  <c r="J864" i="1"/>
  <c r="H864" i="1"/>
  <c r="AV863" i="1"/>
  <c r="AC863" i="1"/>
  <c r="AA817" i="3"/>
  <c r="J865" i="1" l="1"/>
  <c r="H865" i="1"/>
  <c r="O864" i="1"/>
  <c r="AV864" i="1"/>
  <c r="AC864" i="1"/>
  <c r="O865" i="1" l="1"/>
  <c r="J866" i="1"/>
  <c r="H866" i="1"/>
  <c r="AV865" i="1"/>
  <c r="AC865" i="1"/>
  <c r="J867" i="1" l="1"/>
  <c r="H867" i="1"/>
  <c r="O866" i="1"/>
  <c r="AV866" i="1"/>
  <c r="AC866" i="1"/>
  <c r="O867" i="1" l="1"/>
  <c r="H868" i="1"/>
  <c r="J868" i="1"/>
  <c r="AV867" i="1"/>
  <c r="AC867" i="1"/>
  <c r="AA821" i="3"/>
  <c r="AA820" i="3"/>
  <c r="O868" i="1" l="1"/>
  <c r="J869" i="1"/>
  <c r="H869" i="1"/>
  <c r="AV868" i="1"/>
  <c r="AC868" i="1"/>
  <c r="AA814" i="3"/>
  <c r="AA815" i="3"/>
  <c r="O869" i="1" l="1"/>
  <c r="J870" i="1"/>
  <c r="H870" i="1"/>
  <c r="AV869" i="1"/>
  <c r="AC869" i="1"/>
  <c r="AA825" i="3"/>
  <c r="AA826" i="3"/>
  <c r="AA823" i="3"/>
  <c r="AA824" i="3"/>
  <c r="AA822" i="3"/>
  <c r="O870" i="1" l="1"/>
  <c r="J871" i="1"/>
  <c r="H871" i="1"/>
  <c r="AV870" i="1"/>
  <c r="AC870" i="1"/>
  <c r="J872" i="1" l="1"/>
  <c r="H872" i="1"/>
  <c r="AV871" i="1"/>
  <c r="O871" i="1"/>
  <c r="AC871" i="1"/>
  <c r="O872" i="1" l="1"/>
  <c r="J873" i="1"/>
  <c r="H873" i="1"/>
  <c r="AV872" i="1"/>
  <c r="AC872" i="1"/>
  <c r="O873" i="1" l="1"/>
  <c r="J874" i="1"/>
  <c r="H874" i="1"/>
  <c r="AV873" i="1"/>
  <c r="AC873" i="1"/>
  <c r="H875" i="1" l="1"/>
  <c r="J875" i="1"/>
  <c r="O874" i="1"/>
  <c r="AV874" i="1"/>
  <c r="AC874" i="1"/>
  <c r="AA828" i="3"/>
  <c r="AA827" i="3"/>
  <c r="O875" i="1" l="1"/>
  <c r="AV875" i="1"/>
  <c r="J876" i="1"/>
  <c r="H876" i="1"/>
  <c r="AC875" i="1"/>
  <c r="O876" i="1" l="1"/>
  <c r="J877" i="1"/>
  <c r="H877" i="1"/>
  <c r="AV876" i="1"/>
  <c r="AC876" i="1"/>
  <c r="AA834" i="3"/>
  <c r="AA835" i="3"/>
  <c r="AA832" i="3"/>
  <c r="AA833" i="3"/>
  <c r="AA830" i="3"/>
  <c r="AA831" i="3"/>
  <c r="AA829" i="3"/>
  <c r="O877" i="1" l="1"/>
  <c r="J878" i="1"/>
  <c r="H878" i="1"/>
  <c r="AV877" i="1"/>
  <c r="AC877" i="1"/>
  <c r="AV878" i="1" l="1"/>
  <c r="J879" i="1"/>
  <c r="H879" i="1"/>
  <c r="O878" i="1"/>
  <c r="AC878" i="1"/>
  <c r="O879" i="1" l="1"/>
  <c r="H880" i="1"/>
  <c r="J880" i="1"/>
  <c r="AV879" i="1"/>
  <c r="AC879" i="1"/>
  <c r="J881" i="1" l="1"/>
  <c r="H881" i="1"/>
  <c r="O880" i="1"/>
  <c r="AV880" i="1"/>
  <c r="AC880" i="1"/>
  <c r="J882" i="1" l="1"/>
  <c r="H882" i="1"/>
  <c r="O881" i="1"/>
  <c r="AV881" i="1"/>
  <c r="AC881" i="1"/>
  <c r="O882" i="1" l="1"/>
  <c r="AV882" i="1"/>
  <c r="J883" i="1"/>
  <c r="H883" i="1"/>
  <c r="AC882" i="1"/>
  <c r="O883" i="1" l="1"/>
  <c r="J884" i="1"/>
  <c r="H884" i="1"/>
  <c r="AV883" i="1"/>
  <c r="AC883" i="1"/>
  <c r="AA839" i="3"/>
  <c r="AA840" i="3"/>
  <c r="AA837" i="3"/>
  <c r="AA838" i="3"/>
  <c r="AA836" i="3"/>
  <c r="AV884" i="1" l="1"/>
  <c r="J885" i="1"/>
  <c r="H885" i="1"/>
  <c r="O884" i="1"/>
  <c r="AC884" i="1"/>
  <c r="AA841" i="3"/>
  <c r="AV885" i="1" l="1"/>
  <c r="J886" i="1"/>
  <c r="H886" i="1"/>
  <c r="O885" i="1"/>
  <c r="AC885" i="1"/>
  <c r="O886" i="1" l="1"/>
  <c r="J887" i="1"/>
  <c r="H887" i="1"/>
  <c r="AV886" i="1"/>
  <c r="AC886" i="1"/>
  <c r="J888" i="1" l="1"/>
  <c r="H888" i="1"/>
  <c r="AV887" i="1"/>
  <c r="O887" i="1"/>
  <c r="AC887" i="1"/>
  <c r="AV888" i="1" l="1"/>
  <c r="J889" i="1"/>
  <c r="H889" i="1"/>
  <c r="O888" i="1"/>
  <c r="AC888" i="1"/>
  <c r="AV889" i="1" l="1"/>
  <c r="J890" i="1"/>
  <c r="H890" i="1"/>
  <c r="O889" i="1"/>
  <c r="AC889" i="1"/>
  <c r="O890" i="1" l="1"/>
  <c r="J891" i="1"/>
  <c r="H891" i="1"/>
  <c r="AV890" i="1"/>
  <c r="AC890" i="1"/>
  <c r="AA845" i="3"/>
  <c r="AA846" i="3"/>
  <c r="AA843" i="3"/>
  <c r="AA844" i="3"/>
  <c r="AA842" i="3"/>
  <c r="AV891" i="1" l="1"/>
  <c r="J892" i="1"/>
  <c r="H892" i="1"/>
  <c r="O891" i="1"/>
  <c r="AC891" i="1"/>
  <c r="J893" i="1" l="1"/>
  <c r="H893" i="1"/>
  <c r="O892" i="1"/>
  <c r="AV892" i="1"/>
  <c r="AC892" i="1"/>
  <c r="AV893" i="1" l="1"/>
  <c r="H894" i="1"/>
  <c r="J894" i="1"/>
  <c r="O893" i="1"/>
  <c r="AC893" i="1"/>
  <c r="J895" i="1" l="1"/>
  <c r="H895" i="1"/>
  <c r="AV894" i="1"/>
  <c r="O894" i="1"/>
  <c r="AC894" i="1"/>
  <c r="AA848" i="3"/>
  <c r="AA849" i="3"/>
  <c r="AA847" i="3"/>
  <c r="AV895" i="1" l="1"/>
  <c r="H896" i="1"/>
  <c r="I23" i="3" s="1"/>
  <c r="I25" i="3" s="1"/>
  <c r="I27" i="3" s="1"/>
  <c r="J896" i="1"/>
  <c r="O895" i="1"/>
  <c r="AC895" i="1"/>
  <c r="I34" i="3" l="1"/>
  <c r="N27" i="3"/>
  <c r="N28" i="3" s="1"/>
  <c r="O896" i="1"/>
  <c r="J897" i="1"/>
  <c r="H897" i="1"/>
  <c r="AV896" i="1"/>
  <c r="AC896" i="1"/>
  <c r="O897" i="1" l="1"/>
  <c r="J898" i="1"/>
  <c r="H898" i="1"/>
  <c r="AV897" i="1"/>
  <c r="AC897" i="1"/>
  <c r="AA855" i="3"/>
  <c r="AA853" i="3"/>
  <c r="AA854" i="3"/>
  <c r="AA851" i="3"/>
  <c r="AA852" i="3"/>
  <c r="AA850" i="3"/>
  <c r="AC898" i="1" l="1"/>
  <c r="AV898" i="1"/>
  <c r="J899" i="1"/>
  <c r="H899" i="1"/>
  <c r="O898" i="1"/>
  <c r="O899" i="1" l="1"/>
  <c r="J900" i="1"/>
  <c r="H900" i="1"/>
  <c r="AV899" i="1"/>
  <c r="AC899" i="1"/>
  <c r="O900" i="1" l="1"/>
  <c r="AV900" i="1"/>
  <c r="J901" i="1"/>
  <c r="H901" i="1"/>
  <c r="AC900" i="1"/>
  <c r="J902" i="1" l="1"/>
  <c r="H902" i="1"/>
  <c r="AV901" i="1"/>
  <c r="O901" i="1"/>
  <c r="AC901" i="1"/>
  <c r="O902" i="1" l="1"/>
  <c r="H903" i="1"/>
  <c r="J903" i="1"/>
  <c r="AV902" i="1"/>
  <c r="AC902" i="1"/>
  <c r="AV903" i="1" l="1"/>
  <c r="J904" i="1"/>
  <c r="H904" i="1"/>
  <c r="O903" i="1"/>
  <c r="AC903" i="1"/>
  <c r="AV904" i="1" l="1"/>
  <c r="J905" i="1"/>
  <c r="H905" i="1"/>
  <c r="O904" i="1"/>
  <c r="AC904" i="1"/>
  <c r="AA861" i="3"/>
  <c r="AA859" i="3"/>
  <c r="AA860" i="3"/>
  <c r="AA857" i="3"/>
  <c r="AA858" i="3"/>
  <c r="AA856" i="3"/>
  <c r="AV905" i="1" l="1"/>
  <c r="J906" i="1"/>
  <c r="H906" i="1"/>
  <c r="O905" i="1"/>
  <c r="AC905" i="1"/>
  <c r="AV906" i="1" l="1"/>
  <c r="J907" i="1"/>
  <c r="H907" i="1"/>
  <c r="O906" i="1"/>
  <c r="AC906" i="1"/>
  <c r="AV907" i="1" l="1"/>
  <c r="O907" i="1"/>
  <c r="AC907" i="1"/>
  <c r="AF21" i="2" l="1"/>
  <c r="I32" i="3"/>
  <c r="I28" i="3" l="1"/>
  <c r="I36" i="3"/>
  <c r="W863" i="3" s="1"/>
  <c r="AA863" i="3" s="1"/>
  <c r="L34" i="3"/>
  <c r="L32" i="3"/>
  <c r="L35" i="3"/>
  <c r="L36" i="3" l="1"/>
  <c r="AA862" i="3"/>
  <c r="Y214" i="3" l="1"/>
  <c r="Y350" i="3"/>
  <c r="Y12" i="3"/>
  <c r="Y121" i="3"/>
  <c r="Y244" i="3"/>
</calcChain>
</file>

<file path=xl/sharedStrings.xml><?xml version="1.0" encoding="utf-8"?>
<sst xmlns="http://schemas.openxmlformats.org/spreadsheetml/2006/main" count="398" uniqueCount="189">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</sst>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Table'!$BA$1018:$BA$1022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Table'!$BA$1023:$BA$1028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Table'!$BC$1018:$BC$1022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Table'!$BC$1023:$BC$1028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Table'!$BJ$1018:$BJ$1022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Table'!$BJ$1023:$BJ$1027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Table'!$BK$1018:$BK$1022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Table'!$BK$1023:$BK$1027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Table'!$BL$1018:$BL$1022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Table'!$BL$1023:$BL$1027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Table'!$BM$1018:$BM$1022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Table'!$BM$1023:$BM$1027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Table'!$BP$1018:$BP$1022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Table'!$AS$1023:$AT$1028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Table'!$BP$1023:$BP$1028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Table'!$AU$1018:$AU$1022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Table'!$AU$1023:$AU$1028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Table'!$AV$1018:$AV$1022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Table'!$AV$1023:$AV$1027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Table'!$AW$1018:$AW$1022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Table'!$AW$1023:$AW$1027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Table'!$AX$1018:$AX$1022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Table'!$AX$1023:$AX$1027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Table'!$AY$1018:$AY$1022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Table'!$AY$1023:$AY$1027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Table'!$AZ$1018:$AZ$1022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Table'!$AZ$1023:$AZ$1027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Table'!$BB$1018:$BB$1022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Table'!$BB$1023:$BB$1027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Table'!$BD$1018:$BD$1022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Table'!$BD$1023:$BD$1027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Table'!$BE$1018:$BE$1022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Table'!$BE$1023:$BE$1027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Table'!$BF$1018:$BF$1022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Table'!$BF$1023:$BF$1027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Table'!$BG$1018:$BG$1022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Table'!$BG$1023:$BG$1027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Table'!$BH$1018:$BH$1022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Table'!$BH$1023:$BH$1027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Table'!$BI$1018:$BI$1022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Table'!$BI$1023:$BI$1027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Table'!$BN$1018:$BN$1022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Table'!$BN$1023:$BN$1027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Table'!$BO$1018:$BO$1022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Table'!$BO$1023:$BO$1027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Table'!$BQ$1018:$BQ$1022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Table'!$BQ$1023:$BQ$1027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Table'!$BR$1018:$BR$1022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Table'!$BR$1023:$BR$1027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Table'!$BS$1018:$BS$1022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Table'!$BS$1023:$BS$1027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Table'!$BT$1018:$BT$1022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Table'!$BR$1023:$BR$1028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Table'!$BU$1018:$BU$1022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Table'!$BU$1023:$BU$1027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Table'!$BV$1018:$BV$1022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Table'!$AS$1023:$AT$1028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Table'!$BV$1023:$BV$1027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927</xdr:row>
      <xdr:rowOff>99060</xdr:rowOff>
    </xdr:from>
    <xdr:to>
      <xdr:col>22</xdr:col>
      <xdr:colOff>312420</xdr:colOff>
      <xdr:row>928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8038148" y="167972423"/>
          <a:ext cx="175260" cy="18478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927</xdr:row>
      <xdr:rowOff>129540</xdr:rowOff>
    </xdr:from>
    <xdr:to>
      <xdr:col>23</xdr:col>
      <xdr:colOff>68580</xdr:colOff>
      <xdr:row>928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8426768" y="168002903"/>
          <a:ext cx="176212" cy="18478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945</xdr:row>
      <xdr:rowOff>125730</xdr:rowOff>
    </xdr:from>
    <xdr:to>
      <xdr:col>54</xdr:col>
      <xdr:colOff>213360</xdr:colOff>
      <xdr:row>960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1035</xdr:row>
      <xdr:rowOff>91440</xdr:rowOff>
    </xdr:from>
    <xdr:to>
      <xdr:col>76</xdr:col>
      <xdr:colOff>472440</xdr:colOff>
      <xdr:row>1058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1039</xdr:row>
      <xdr:rowOff>60960</xdr:rowOff>
    </xdr:from>
    <xdr:to>
      <xdr:col>76</xdr:col>
      <xdr:colOff>60960</xdr:colOff>
      <xdr:row>1039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9658648" y="188889323"/>
          <a:ext cx="4333875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852</xdr:row>
      <xdr:rowOff>0</xdr:rowOff>
    </xdr:from>
    <xdr:to>
      <xdr:col>64</xdr:col>
      <xdr:colOff>83820</xdr:colOff>
      <xdr:row>852</xdr:row>
      <xdr:rowOff>114300</xdr:rowOff>
    </xdr:to>
    <xdr:sp macro="" textlink="">
      <xdr:nvSpPr>
        <xdr:cNvPr id="6196" name="Arrow: Down 6195">
          <a:extLst>
            <a:ext uri="{FF2B5EF4-FFF2-40B4-BE49-F238E27FC236}">
              <a16:creationId xmlns:a16="http://schemas.microsoft.com/office/drawing/2014/main" id="{AC5DC445-5BB1-4315-AED2-63C4A35482E6}"/>
            </a:ext>
          </a:extLst>
        </xdr:cNvPr>
        <xdr:cNvSpPr/>
      </xdr:nvSpPr>
      <xdr:spPr>
        <a:xfrm rot="10800000">
          <a:off x="19726275" y="1581864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852</xdr:row>
      <xdr:rowOff>0</xdr:rowOff>
    </xdr:from>
    <xdr:to>
      <xdr:col>45</xdr:col>
      <xdr:colOff>83820</xdr:colOff>
      <xdr:row>852</xdr:row>
      <xdr:rowOff>114300</xdr:rowOff>
    </xdr:to>
    <xdr:sp macro="" textlink="">
      <xdr:nvSpPr>
        <xdr:cNvPr id="6281" name="Arrow: Down 6280">
          <a:extLst>
            <a:ext uri="{FF2B5EF4-FFF2-40B4-BE49-F238E27FC236}">
              <a16:creationId xmlns:a16="http://schemas.microsoft.com/office/drawing/2014/main" id="{A4F269EB-8170-4D21-897E-76B7DF979067}"/>
            </a:ext>
          </a:extLst>
        </xdr:cNvPr>
        <xdr:cNvSpPr/>
      </xdr:nvSpPr>
      <xdr:spPr>
        <a:xfrm rot="10800000">
          <a:off x="13644563" y="1581864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852</xdr:row>
      <xdr:rowOff>0</xdr:rowOff>
    </xdr:from>
    <xdr:to>
      <xdr:col>71</xdr:col>
      <xdr:colOff>83820</xdr:colOff>
      <xdr:row>852</xdr:row>
      <xdr:rowOff>114300</xdr:rowOff>
    </xdr:to>
    <xdr:sp macro="" textlink="">
      <xdr:nvSpPr>
        <xdr:cNvPr id="6282" name="Arrow: Down 6281">
          <a:extLst>
            <a:ext uri="{FF2B5EF4-FFF2-40B4-BE49-F238E27FC236}">
              <a16:creationId xmlns:a16="http://schemas.microsoft.com/office/drawing/2014/main" id="{4CA2A1BE-45D8-49DF-B907-F3CF41151558}"/>
            </a:ext>
          </a:extLst>
        </xdr:cNvPr>
        <xdr:cNvSpPr/>
      </xdr:nvSpPr>
      <xdr:spPr>
        <a:xfrm rot="10800000">
          <a:off x="22383750" y="1581864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852</xdr:row>
      <xdr:rowOff>0</xdr:rowOff>
    </xdr:from>
    <xdr:to>
      <xdr:col>60</xdr:col>
      <xdr:colOff>83820</xdr:colOff>
      <xdr:row>852</xdr:row>
      <xdr:rowOff>114300</xdr:rowOff>
    </xdr:to>
    <xdr:sp macro="" textlink="">
      <xdr:nvSpPr>
        <xdr:cNvPr id="6315" name="Arrow: Down 6314">
          <a:extLst>
            <a:ext uri="{FF2B5EF4-FFF2-40B4-BE49-F238E27FC236}">
              <a16:creationId xmlns:a16="http://schemas.microsoft.com/office/drawing/2014/main" id="{E9C372F3-AE7B-4FF8-AF10-B610038576BF}"/>
            </a:ext>
          </a:extLst>
        </xdr:cNvPr>
        <xdr:cNvSpPr/>
      </xdr:nvSpPr>
      <xdr:spPr>
        <a:xfrm>
          <a:off x="19454813" y="158186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853</xdr:row>
      <xdr:rowOff>0</xdr:rowOff>
    </xdr:from>
    <xdr:to>
      <xdr:col>64</xdr:col>
      <xdr:colOff>83820</xdr:colOff>
      <xdr:row>853</xdr:row>
      <xdr:rowOff>114300</xdr:rowOff>
    </xdr:to>
    <xdr:sp macro="" textlink="">
      <xdr:nvSpPr>
        <xdr:cNvPr id="6338" name="Arrow: Down 6337">
          <a:extLst>
            <a:ext uri="{FF2B5EF4-FFF2-40B4-BE49-F238E27FC236}">
              <a16:creationId xmlns:a16="http://schemas.microsoft.com/office/drawing/2014/main" id="{384CA95C-22FA-4006-9943-757B33630475}"/>
            </a:ext>
          </a:extLst>
        </xdr:cNvPr>
        <xdr:cNvSpPr/>
      </xdr:nvSpPr>
      <xdr:spPr>
        <a:xfrm rot="10800000">
          <a:off x="19754850" y="158372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853</xdr:row>
      <xdr:rowOff>0</xdr:rowOff>
    </xdr:from>
    <xdr:to>
      <xdr:col>45</xdr:col>
      <xdr:colOff>83820</xdr:colOff>
      <xdr:row>853</xdr:row>
      <xdr:rowOff>114300</xdr:rowOff>
    </xdr:to>
    <xdr:sp macro="" textlink="">
      <xdr:nvSpPr>
        <xdr:cNvPr id="6441" name="Arrow: Down 6440">
          <a:extLst>
            <a:ext uri="{FF2B5EF4-FFF2-40B4-BE49-F238E27FC236}">
              <a16:creationId xmlns:a16="http://schemas.microsoft.com/office/drawing/2014/main" id="{168A5633-9577-4A3E-966C-F468081010BE}"/>
            </a:ext>
          </a:extLst>
        </xdr:cNvPr>
        <xdr:cNvSpPr/>
      </xdr:nvSpPr>
      <xdr:spPr>
        <a:xfrm rot="10800000">
          <a:off x="13644563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853</xdr:row>
      <xdr:rowOff>0</xdr:rowOff>
    </xdr:from>
    <xdr:to>
      <xdr:col>71</xdr:col>
      <xdr:colOff>83820</xdr:colOff>
      <xdr:row>853</xdr:row>
      <xdr:rowOff>114300</xdr:rowOff>
    </xdr:to>
    <xdr:sp macro="" textlink="">
      <xdr:nvSpPr>
        <xdr:cNvPr id="6442" name="Arrow: Down 6441">
          <a:extLst>
            <a:ext uri="{FF2B5EF4-FFF2-40B4-BE49-F238E27FC236}">
              <a16:creationId xmlns:a16="http://schemas.microsoft.com/office/drawing/2014/main" id="{018EF3A4-9A33-4184-8B15-6060A4853369}"/>
            </a:ext>
          </a:extLst>
        </xdr:cNvPr>
        <xdr:cNvSpPr/>
      </xdr:nvSpPr>
      <xdr:spPr>
        <a:xfrm rot="10800000">
          <a:off x="2241232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853</xdr:row>
      <xdr:rowOff>0</xdr:rowOff>
    </xdr:from>
    <xdr:to>
      <xdr:col>39</xdr:col>
      <xdr:colOff>83820</xdr:colOff>
      <xdr:row>853</xdr:row>
      <xdr:rowOff>114300</xdr:rowOff>
    </xdr:to>
    <xdr:sp macro="" textlink="">
      <xdr:nvSpPr>
        <xdr:cNvPr id="6443" name="Arrow: Down 6442">
          <a:extLst>
            <a:ext uri="{FF2B5EF4-FFF2-40B4-BE49-F238E27FC236}">
              <a16:creationId xmlns:a16="http://schemas.microsoft.com/office/drawing/2014/main" id="{16EA2230-D6C2-483A-8187-F373AB5E1DCE}"/>
            </a:ext>
          </a:extLst>
        </xdr:cNvPr>
        <xdr:cNvSpPr/>
      </xdr:nvSpPr>
      <xdr:spPr>
        <a:xfrm>
          <a:off x="117538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854</xdr:row>
      <xdr:rowOff>0</xdr:rowOff>
    </xdr:from>
    <xdr:to>
      <xdr:col>64</xdr:col>
      <xdr:colOff>83820</xdr:colOff>
      <xdr:row>854</xdr:row>
      <xdr:rowOff>114300</xdr:rowOff>
    </xdr:to>
    <xdr:sp macro="" textlink="">
      <xdr:nvSpPr>
        <xdr:cNvPr id="6445" name="Arrow: Down 6444">
          <a:extLst>
            <a:ext uri="{FF2B5EF4-FFF2-40B4-BE49-F238E27FC236}">
              <a16:creationId xmlns:a16="http://schemas.microsoft.com/office/drawing/2014/main" id="{3941B20C-A6E0-43D8-A270-186C6489643D}"/>
            </a:ext>
          </a:extLst>
        </xdr:cNvPr>
        <xdr:cNvSpPr/>
      </xdr:nvSpPr>
      <xdr:spPr>
        <a:xfrm rot="10800000">
          <a:off x="19754850" y="1585579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854</xdr:row>
      <xdr:rowOff>0</xdr:rowOff>
    </xdr:from>
    <xdr:to>
      <xdr:col>45</xdr:col>
      <xdr:colOff>83820</xdr:colOff>
      <xdr:row>854</xdr:row>
      <xdr:rowOff>114300</xdr:rowOff>
    </xdr:to>
    <xdr:sp macro="" textlink="">
      <xdr:nvSpPr>
        <xdr:cNvPr id="6450" name="Arrow: Down 6449">
          <a:extLst>
            <a:ext uri="{FF2B5EF4-FFF2-40B4-BE49-F238E27FC236}">
              <a16:creationId xmlns:a16="http://schemas.microsoft.com/office/drawing/2014/main" id="{F02EE974-FC33-4CAA-853B-2F235F005320}"/>
            </a:ext>
          </a:extLst>
        </xdr:cNvPr>
        <xdr:cNvSpPr/>
      </xdr:nvSpPr>
      <xdr:spPr>
        <a:xfrm rot="10800000">
          <a:off x="13644563" y="1585579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854</xdr:row>
      <xdr:rowOff>0</xdr:rowOff>
    </xdr:from>
    <xdr:to>
      <xdr:col>71</xdr:col>
      <xdr:colOff>83820</xdr:colOff>
      <xdr:row>854</xdr:row>
      <xdr:rowOff>114300</xdr:rowOff>
    </xdr:to>
    <xdr:sp macro="" textlink="">
      <xdr:nvSpPr>
        <xdr:cNvPr id="6451" name="Arrow: Down 6450">
          <a:extLst>
            <a:ext uri="{FF2B5EF4-FFF2-40B4-BE49-F238E27FC236}">
              <a16:creationId xmlns:a16="http://schemas.microsoft.com/office/drawing/2014/main" id="{3B6B6498-B7F1-4572-AE92-BC62ED4AF946}"/>
            </a:ext>
          </a:extLst>
        </xdr:cNvPr>
        <xdr:cNvSpPr/>
      </xdr:nvSpPr>
      <xdr:spPr>
        <a:xfrm rot="10800000">
          <a:off x="2241232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854</xdr:row>
      <xdr:rowOff>0</xdr:rowOff>
    </xdr:from>
    <xdr:to>
      <xdr:col>60</xdr:col>
      <xdr:colOff>83820</xdr:colOff>
      <xdr:row>854</xdr:row>
      <xdr:rowOff>114300</xdr:rowOff>
    </xdr:to>
    <xdr:sp macro="" textlink="">
      <xdr:nvSpPr>
        <xdr:cNvPr id="6453" name="Arrow: Down 6452">
          <a:extLst>
            <a:ext uri="{FF2B5EF4-FFF2-40B4-BE49-F238E27FC236}">
              <a16:creationId xmlns:a16="http://schemas.microsoft.com/office/drawing/2014/main" id="{08A81D67-89BF-4ABC-BF0E-2A7D17DDDDD5}"/>
            </a:ext>
          </a:extLst>
        </xdr:cNvPr>
        <xdr:cNvSpPr/>
      </xdr:nvSpPr>
      <xdr:spPr>
        <a:xfrm>
          <a:off x="19483388" y="158557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855</xdr:row>
      <xdr:rowOff>0</xdr:rowOff>
    </xdr:from>
    <xdr:to>
      <xdr:col>64</xdr:col>
      <xdr:colOff>83820</xdr:colOff>
      <xdr:row>855</xdr:row>
      <xdr:rowOff>114300</xdr:rowOff>
    </xdr:to>
    <xdr:sp macro="" textlink="">
      <xdr:nvSpPr>
        <xdr:cNvPr id="6455" name="Arrow: Down 6454">
          <a:extLst>
            <a:ext uri="{FF2B5EF4-FFF2-40B4-BE49-F238E27FC236}">
              <a16:creationId xmlns:a16="http://schemas.microsoft.com/office/drawing/2014/main" id="{909D6639-17FE-45D2-B7C8-32B50B3828F2}"/>
            </a:ext>
          </a:extLst>
        </xdr:cNvPr>
        <xdr:cNvSpPr/>
      </xdr:nvSpPr>
      <xdr:spPr>
        <a:xfrm rot="10800000">
          <a:off x="19754850" y="158743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855</xdr:row>
      <xdr:rowOff>0</xdr:rowOff>
    </xdr:from>
    <xdr:to>
      <xdr:col>24</xdr:col>
      <xdr:colOff>83820</xdr:colOff>
      <xdr:row>855</xdr:row>
      <xdr:rowOff>114300</xdr:rowOff>
    </xdr:to>
    <xdr:sp macro="" textlink="">
      <xdr:nvSpPr>
        <xdr:cNvPr id="6456" name="Arrow: Down 6455">
          <a:extLst>
            <a:ext uri="{FF2B5EF4-FFF2-40B4-BE49-F238E27FC236}">
              <a16:creationId xmlns:a16="http://schemas.microsoft.com/office/drawing/2014/main" id="{DF4532BF-BCB1-430E-AD88-2FE796C75EB6}"/>
            </a:ext>
          </a:extLst>
        </xdr:cNvPr>
        <xdr:cNvSpPr/>
      </xdr:nvSpPr>
      <xdr:spPr>
        <a:xfrm>
          <a:off x="8486775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83820</xdr:colOff>
      <xdr:row>855</xdr:row>
      <xdr:rowOff>114300</xdr:rowOff>
    </xdr:to>
    <xdr:sp macro="" textlink="">
      <xdr:nvSpPr>
        <xdr:cNvPr id="6461" name="Arrow: Down 6460">
          <a:extLst>
            <a:ext uri="{FF2B5EF4-FFF2-40B4-BE49-F238E27FC236}">
              <a16:creationId xmlns:a16="http://schemas.microsoft.com/office/drawing/2014/main" id="{70296EFC-7764-4688-97A2-66ECF4AD78E2}"/>
            </a:ext>
          </a:extLst>
        </xdr:cNvPr>
        <xdr:cNvSpPr/>
      </xdr:nvSpPr>
      <xdr:spPr>
        <a:xfrm>
          <a:off x="1962150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855</xdr:row>
      <xdr:rowOff>0</xdr:rowOff>
    </xdr:from>
    <xdr:to>
      <xdr:col>11</xdr:col>
      <xdr:colOff>83820</xdr:colOff>
      <xdr:row>855</xdr:row>
      <xdr:rowOff>114300</xdr:rowOff>
    </xdr:to>
    <xdr:sp macro="" textlink="">
      <xdr:nvSpPr>
        <xdr:cNvPr id="6472" name="Arrow: Down 6471">
          <a:extLst>
            <a:ext uri="{FF2B5EF4-FFF2-40B4-BE49-F238E27FC236}">
              <a16:creationId xmlns:a16="http://schemas.microsoft.com/office/drawing/2014/main" id="{8AF84F50-DCA3-4DF0-B9D6-3B98EFA1185E}"/>
            </a:ext>
          </a:extLst>
        </xdr:cNvPr>
        <xdr:cNvSpPr/>
      </xdr:nvSpPr>
      <xdr:spPr>
        <a:xfrm>
          <a:off x="3757613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855</xdr:row>
      <xdr:rowOff>0</xdr:rowOff>
    </xdr:from>
    <xdr:to>
      <xdr:col>45</xdr:col>
      <xdr:colOff>83820</xdr:colOff>
      <xdr:row>855</xdr:row>
      <xdr:rowOff>114300</xdr:rowOff>
    </xdr:to>
    <xdr:sp macro="" textlink="">
      <xdr:nvSpPr>
        <xdr:cNvPr id="6473" name="Arrow: Down 6472">
          <a:extLst>
            <a:ext uri="{FF2B5EF4-FFF2-40B4-BE49-F238E27FC236}">
              <a16:creationId xmlns:a16="http://schemas.microsoft.com/office/drawing/2014/main" id="{3D1AF784-F89C-4C3F-8179-4B7AE868F429}"/>
            </a:ext>
          </a:extLst>
        </xdr:cNvPr>
        <xdr:cNvSpPr/>
      </xdr:nvSpPr>
      <xdr:spPr>
        <a:xfrm rot="10800000">
          <a:off x="13644563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855</xdr:row>
      <xdr:rowOff>0</xdr:rowOff>
    </xdr:from>
    <xdr:to>
      <xdr:col>71</xdr:col>
      <xdr:colOff>83820</xdr:colOff>
      <xdr:row>855</xdr:row>
      <xdr:rowOff>114300</xdr:rowOff>
    </xdr:to>
    <xdr:sp macro="" textlink="">
      <xdr:nvSpPr>
        <xdr:cNvPr id="6474" name="Arrow: Down 6473">
          <a:extLst>
            <a:ext uri="{FF2B5EF4-FFF2-40B4-BE49-F238E27FC236}">
              <a16:creationId xmlns:a16="http://schemas.microsoft.com/office/drawing/2014/main" id="{AACD973C-FF02-4F24-AFB3-0DAC534E66A1}"/>
            </a:ext>
          </a:extLst>
        </xdr:cNvPr>
        <xdr:cNvSpPr/>
      </xdr:nvSpPr>
      <xdr:spPr>
        <a:xfrm rot="10800000">
          <a:off x="2241232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856</xdr:row>
      <xdr:rowOff>0</xdr:rowOff>
    </xdr:from>
    <xdr:to>
      <xdr:col>64</xdr:col>
      <xdr:colOff>83820</xdr:colOff>
      <xdr:row>856</xdr:row>
      <xdr:rowOff>114300</xdr:rowOff>
    </xdr:to>
    <xdr:sp macro="" textlink="">
      <xdr:nvSpPr>
        <xdr:cNvPr id="6477" name="Arrow: Down 6476">
          <a:extLst>
            <a:ext uri="{FF2B5EF4-FFF2-40B4-BE49-F238E27FC236}">
              <a16:creationId xmlns:a16="http://schemas.microsoft.com/office/drawing/2014/main" id="{7B745BC6-157E-4C30-9C02-17F37B19CC02}"/>
            </a:ext>
          </a:extLst>
        </xdr:cNvPr>
        <xdr:cNvSpPr/>
      </xdr:nvSpPr>
      <xdr:spPr>
        <a:xfrm rot="10800000">
          <a:off x="19754850" y="1589293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856</xdr:row>
      <xdr:rowOff>0</xdr:rowOff>
    </xdr:from>
    <xdr:to>
      <xdr:col>24</xdr:col>
      <xdr:colOff>83820</xdr:colOff>
      <xdr:row>856</xdr:row>
      <xdr:rowOff>114300</xdr:rowOff>
    </xdr:to>
    <xdr:sp macro="" textlink="">
      <xdr:nvSpPr>
        <xdr:cNvPr id="6478" name="Arrow: Down 6477">
          <a:extLst>
            <a:ext uri="{FF2B5EF4-FFF2-40B4-BE49-F238E27FC236}">
              <a16:creationId xmlns:a16="http://schemas.microsoft.com/office/drawing/2014/main" id="{7502E7FD-DE83-4B95-B99E-6314E2A0786E}"/>
            </a:ext>
          </a:extLst>
        </xdr:cNvPr>
        <xdr:cNvSpPr/>
      </xdr:nvSpPr>
      <xdr:spPr>
        <a:xfrm>
          <a:off x="8486775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856</xdr:row>
      <xdr:rowOff>0</xdr:rowOff>
    </xdr:from>
    <xdr:to>
      <xdr:col>5</xdr:col>
      <xdr:colOff>83820</xdr:colOff>
      <xdr:row>856</xdr:row>
      <xdr:rowOff>114300</xdr:rowOff>
    </xdr:to>
    <xdr:sp macro="" textlink="">
      <xdr:nvSpPr>
        <xdr:cNvPr id="6479" name="Arrow: Down 6478">
          <a:extLst>
            <a:ext uri="{FF2B5EF4-FFF2-40B4-BE49-F238E27FC236}">
              <a16:creationId xmlns:a16="http://schemas.microsoft.com/office/drawing/2014/main" id="{3BC62A5C-2DF5-4359-8463-118F0FCC03BD}"/>
            </a:ext>
          </a:extLst>
        </xdr:cNvPr>
        <xdr:cNvSpPr/>
      </xdr:nvSpPr>
      <xdr:spPr>
        <a:xfrm>
          <a:off x="1962150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856</xdr:row>
      <xdr:rowOff>0</xdr:rowOff>
    </xdr:from>
    <xdr:to>
      <xdr:col>11</xdr:col>
      <xdr:colOff>83820</xdr:colOff>
      <xdr:row>856</xdr:row>
      <xdr:rowOff>114300</xdr:rowOff>
    </xdr:to>
    <xdr:sp macro="" textlink="">
      <xdr:nvSpPr>
        <xdr:cNvPr id="6480" name="Arrow: Down 6479">
          <a:extLst>
            <a:ext uri="{FF2B5EF4-FFF2-40B4-BE49-F238E27FC236}">
              <a16:creationId xmlns:a16="http://schemas.microsoft.com/office/drawing/2014/main" id="{3CE3CD50-3816-4410-976A-542EAF8E7EB5}"/>
            </a:ext>
          </a:extLst>
        </xdr:cNvPr>
        <xdr:cNvSpPr/>
      </xdr:nvSpPr>
      <xdr:spPr>
        <a:xfrm>
          <a:off x="3757613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856</xdr:row>
      <xdr:rowOff>0</xdr:rowOff>
    </xdr:from>
    <xdr:to>
      <xdr:col>45</xdr:col>
      <xdr:colOff>83820</xdr:colOff>
      <xdr:row>856</xdr:row>
      <xdr:rowOff>114300</xdr:rowOff>
    </xdr:to>
    <xdr:sp macro="" textlink="">
      <xdr:nvSpPr>
        <xdr:cNvPr id="6482" name="Arrow: Down 6481">
          <a:extLst>
            <a:ext uri="{FF2B5EF4-FFF2-40B4-BE49-F238E27FC236}">
              <a16:creationId xmlns:a16="http://schemas.microsoft.com/office/drawing/2014/main" id="{295A5067-01F3-4F74-BFDB-E4E8A2D682B7}"/>
            </a:ext>
          </a:extLst>
        </xdr:cNvPr>
        <xdr:cNvSpPr/>
      </xdr:nvSpPr>
      <xdr:spPr>
        <a:xfrm rot="10800000">
          <a:off x="13644563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856</xdr:row>
      <xdr:rowOff>0</xdr:rowOff>
    </xdr:from>
    <xdr:to>
      <xdr:col>71</xdr:col>
      <xdr:colOff>83820</xdr:colOff>
      <xdr:row>856</xdr:row>
      <xdr:rowOff>114300</xdr:rowOff>
    </xdr:to>
    <xdr:sp macro="" textlink="">
      <xdr:nvSpPr>
        <xdr:cNvPr id="6483" name="Arrow: Down 6482">
          <a:extLst>
            <a:ext uri="{FF2B5EF4-FFF2-40B4-BE49-F238E27FC236}">
              <a16:creationId xmlns:a16="http://schemas.microsoft.com/office/drawing/2014/main" id="{B54397CD-1FBA-44E9-9C47-77107C3A293D}"/>
            </a:ext>
          </a:extLst>
        </xdr:cNvPr>
        <xdr:cNvSpPr/>
      </xdr:nvSpPr>
      <xdr:spPr>
        <a:xfrm rot="10800000">
          <a:off x="22412325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856</xdr:row>
      <xdr:rowOff>0</xdr:rowOff>
    </xdr:from>
    <xdr:to>
      <xdr:col>39</xdr:col>
      <xdr:colOff>83820</xdr:colOff>
      <xdr:row>856</xdr:row>
      <xdr:rowOff>114300</xdr:rowOff>
    </xdr:to>
    <xdr:sp macro="" textlink="">
      <xdr:nvSpPr>
        <xdr:cNvPr id="6484" name="Arrow: Down 6483">
          <a:extLst>
            <a:ext uri="{FF2B5EF4-FFF2-40B4-BE49-F238E27FC236}">
              <a16:creationId xmlns:a16="http://schemas.microsoft.com/office/drawing/2014/main" id="{AE325EFE-604E-4DCA-98A2-19111893E327}"/>
            </a:ext>
          </a:extLst>
        </xdr:cNvPr>
        <xdr:cNvSpPr/>
      </xdr:nvSpPr>
      <xdr:spPr>
        <a:xfrm>
          <a:off x="11753850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857</xdr:row>
      <xdr:rowOff>0</xdr:rowOff>
    </xdr:from>
    <xdr:to>
      <xdr:col>64</xdr:col>
      <xdr:colOff>83820</xdr:colOff>
      <xdr:row>857</xdr:row>
      <xdr:rowOff>114300</xdr:rowOff>
    </xdr:to>
    <xdr:sp macro="" textlink="">
      <xdr:nvSpPr>
        <xdr:cNvPr id="6489" name="Arrow: Down 6488">
          <a:extLst>
            <a:ext uri="{FF2B5EF4-FFF2-40B4-BE49-F238E27FC236}">
              <a16:creationId xmlns:a16="http://schemas.microsoft.com/office/drawing/2014/main" id="{B80A5FF4-85B3-4E18-B5C1-F247BBC8A7C7}"/>
            </a:ext>
          </a:extLst>
        </xdr:cNvPr>
        <xdr:cNvSpPr/>
      </xdr:nvSpPr>
      <xdr:spPr>
        <a:xfrm rot="10800000">
          <a:off x="19754850" y="159115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857</xdr:row>
      <xdr:rowOff>0</xdr:rowOff>
    </xdr:from>
    <xdr:to>
      <xdr:col>24</xdr:col>
      <xdr:colOff>83820</xdr:colOff>
      <xdr:row>857</xdr:row>
      <xdr:rowOff>114300</xdr:rowOff>
    </xdr:to>
    <xdr:sp macro="" textlink="">
      <xdr:nvSpPr>
        <xdr:cNvPr id="6490" name="Arrow: Down 6489">
          <a:extLst>
            <a:ext uri="{FF2B5EF4-FFF2-40B4-BE49-F238E27FC236}">
              <a16:creationId xmlns:a16="http://schemas.microsoft.com/office/drawing/2014/main" id="{298827E8-BA01-482A-8F4C-DF52BA06C1C7}"/>
            </a:ext>
          </a:extLst>
        </xdr:cNvPr>
        <xdr:cNvSpPr/>
      </xdr:nvSpPr>
      <xdr:spPr>
        <a:xfrm>
          <a:off x="8486775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857</xdr:row>
      <xdr:rowOff>0</xdr:rowOff>
    </xdr:from>
    <xdr:to>
      <xdr:col>5</xdr:col>
      <xdr:colOff>83820</xdr:colOff>
      <xdr:row>857</xdr:row>
      <xdr:rowOff>114300</xdr:rowOff>
    </xdr:to>
    <xdr:sp macro="" textlink="">
      <xdr:nvSpPr>
        <xdr:cNvPr id="6491" name="Arrow: Down 6490">
          <a:extLst>
            <a:ext uri="{FF2B5EF4-FFF2-40B4-BE49-F238E27FC236}">
              <a16:creationId xmlns:a16="http://schemas.microsoft.com/office/drawing/2014/main" id="{095A288F-08A9-4C46-AB7D-1841FEFFDA25}"/>
            </a:ext>
          </a:extLst>
        </xdr:cNvPr>
        <xdr:cNvSpPr/>
      </xdr:nvSpPr>
      <xdr:spPr>
        <a:xfrm>
          <a:off x="1962150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857</xdr:row>
      <xdr:rowOff>0</xdr:rowOff>
    </xdr:from>
    <xdr:to>
      <xdr:col>11</xdr:col>
      <xdr:colOff>83820</xdr:colOff>
      <xdr:row>857</xdr:row>
      <xdr:rowOff>114300</xdr:rowOff>
    </xdr:to>
    <xdr:sp macro="" textlink="">
      <xdr:nvSpPr>
        <xdr:cNvPr id="6492" name="Arrow: Down 6491">
          <a:extLst>
            <a:ext uri="{FF2B5EF4-FFF2-40B4-BE49-F238E27FC236}">
              <a16:creationId xmlns:a16="http://schemas.microsoft.com/office/drawing/2014/main" id="{5390CDB2-52F2-4417-AD00-C6FB1825EBEA}"/>
            </a:ext>
          </a:extLst>
        </xdr:cNvPr>
        <xdr:cNvSpPr/>
      </xdr:nvSpPr>
      <xdr:spPr>
        <a:xfrm>
          <a:off x="3757613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857</xdr:row>
      <xdr:rowOff>0</xdr:rowOff>
    </xdr:from>
    <xdr:to>
      <xdr:col>45</xdr:col>
      <xdr:colOff>83820</xdr:colOff>
      <xdr:row>857</xdr:row>
      <xdr:rowOff>114300</xdr:rowOff>
    </xdr:to>
    <xdr:sp macro="" textlink="">
      <xdr:nvSpPr>
        <xdr:cNvPr id="6493" name="Arrow: Down 6492">
          <a:extLst>
            <a:ext uri="{FF2B5EF4-FFF2-40B4-BE49-F238E27FC236}">
              <a16:creationId xmlns:a16="http://schemas.microsoft.com/office/drawing/2014/main" id="{78EDEDC6-D53A-42C1-81BD-60DE3E022C41}"/>
            </a:ext>
          </a:extLst>
        </xdr:cNvPr>
        <xdr:cNvSpPr/>
      </xdr:nvSpPr>
      <xdr:spPr>
        <a:xfrm rot="10800000">
          <a:off x="13644563" y="1591151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857</xdr:row>
      <xdr:rowOff>0</xdr:rowOff>
    </xdr:from>
    <xdr:to>
      <xdr:col>71</xdr:col>
      <xdr:colOff>83820</xdr:colOff>
      <xdr:row>857</xdr:row>
      <xdr:rowOff>114300</xdr:rowOff>
    </xdr:to>
    <xdr:sp macro="" textlink="">
      <xdr:nvSpPr>
        <xdr:cNvPr id="6494" name="Arrow: Down 6493">
          <a:extLst>
            <a:ext uri="{FF2B5EF4-FFF2-40B4-BE49-F238E27FC236}">
              <a16:creationId xmlns:a16="http://schemas.microsoft.com/office/drawing/2014/main" id="{47B41E6E-E9B5-4A15-B9E9-64ADB8424FDA}"/>
            </a:ext>
          </a:extLst>
        </xdr:cNvPr>
        <xdr:cNvSpPr/>
      </xdr:nvSpPr>
      <xdr:spPr>
        <a:xfrm rot="10800000">
          <a:off x="22412325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857</xdr:row>
      <xdr:rowOff>0</xdr:rowOff>
    </xdr:from>
    <xdr:to>
      <xdr:col>39</xdr:col>
      <xdr:colOff>83820</xdr:colOff>
      <xdr:row>857</xdr:row>
      <xdr:rowOff>114300</xdr:rowOff>
    </xdr:to>
    <xdr:sp macro="" textlink="">
      <xdr:nvSpPr>
        <xdr:cNvPr id="6495" name="Arrow: Down 6494">
          <a:extLst>
            <a:ext uri="{FF2B5EF4-FFF2-40B4-BE49-F238E27FC236}">
              <a16:creationId xmlns:a16="http://schemas.microsoft.com/office/drawing/2014/main" id="{2292F9CB-D517-4C59-B222-81AD86EDC1AB}"/>
            </a:ext>
          </a:extLst>
        </xdr:cNvPr>
        <xdr:cNvSpPr/>
      </xdr:nvSpPr>
      <xdr:spPr>
        <a:xfrm>
          <a:off x="11753850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857</xdr:row>
      <xdr:rowOff>0</xdr:rowOff>
    </xdr:from>
    <xdr:to>
      <xdr:col>60</xdr:col>
      <xdr:colOff>83820</xdr:colOff>
      <xdr:row>857</xdr:row>
      <xdr:rowOff>114300</xdr:rowOff>
    </xdr:to>
    <xdr:sp macro="" textlink="">
      <xdr:nvSpPr>
        <xdr:cNvPr id="6496" name="Arrow: Down 6495">
          <a:extLst>
            <a:ext uri="{FF2B5EF4-FFF2-40B4-BE49-F238E27FC236}">
              <a16:creationId xmlns:a16="http://schemas.microsoft.com/office/drawing/2014/main" id="{C79873A2-E273-43AD-A8FC-B12741421772}"/>
            </a:ext>
          </a:extLst>
        </xdr:cNvPr>
        <xdr:cNvSpPr/>
      </xdr:nvSpPr>
      <xdr:spPr>
        <a:xfrm>
          <a:off x="19483388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858</xdr:row>
      <xdr:rowOff>0</xdr:rowOff>
    </xdr:from>
    <xdr:to>
      <xdr:col>64</xdr:col>
      <xdr:colOff>83820</xdr:colOff>
      <xdr:row>858</xdr:row>
      <xdr:rowOff>114300</xdr:rowOff>
    </xdr:to>
    <xdr:sp macro="" textlink="">
      <xdr:nvSpPr>
        <xdr:cNvPr id="6499" name="Arrow: Down 6498">
          <a:extLst>
            <a:ext uri="{FF2B5EF4-FFF2-40B4-BE49-F238E27FC236}">
              <a16:creationId xmlns:a16="http://schemas.microsoft.com/office/drawing/2014/main" id="{7927A256-51F4-4164-9450-4739931EFBC1}"/>
            </a:ext>
          </a:extLst>
        </xdr:cNvPr>
        <xdr:cNvSpPr/>
      </xdr:nvSpPr>
      <xdr:spPr>
        <a:xfrm rot="10800000">
          <a:off x="19754850" y="1593008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858</xdr:row>
      <xdr:rowOff>0</xdr:rowOff>
    </xdr:from>
    <xdr:to>
      <xdr:col>24</xdr:col>
      <xdr:colOff>83820</xdr:colOff>
      <xdr:row>858</xdr:row>
      <xdr:rowOff>114300</xdr:rowOff>
    </xdr:to>
    <xdr:sp macro="" textlink="">
      <xdr:nvSpPr>
        <xdr:cNvPr id="6500" name="Arrow: Down 6499">
          <a:extLst>
            <a:ext uri="{FF2B5EF4-FFF2-40B4-BE49-F238E27FC236}">
              <a16:creationId xmlns:a16="http://schemas.microsoft.com/office/drawing/2014/main" id="{4C647A37-822F-469E-993E-43C66FAC5E39}"/>
            </a:ext>
          </a:extLst>
        </xdr:cNvPr>
        <xdr:cNvSpPr/>
      </xdr:nvSpPr>
      <xdr:spPr>
        <a:xfrm>
          <a:off x="8486775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858</xdr:row>
      <xdr:rowOff>0</xdr:rowOff>
    </xdr:from>
    <xdr:to>
      <xdr:col>5</xdr:col>
      <xdr:colOff>83820</xdr:colOff>
      <xdr:row>858</xdr:row>
      <xdr:rowOff>114300</xdr:rowOff>
    </xdr:to>
    <xdr:sp macro="" textlink="">
      <xdr:nvSpPr>
        <xdr:cNvPr id="6501" name="Arrow: Down 6500">
          <a:extLst>
            <a:ext uri="{FF2B5EF4-FFF2-40B4-BE49-F238E27FC236}">
              <a16:creationId xmlns:a16="http://schemas.microsoft.com/office/drawing/2014/main" id="{04172354-E130-4043-87B3-278C08955F39}"/>
            </a:ext>
          </a:extLst>
        </xdr:cNvPr>
        <xdr:cNvSpPr/>
      </xdr:nvSpPr>
      <xdr:spPr>
        <a:xfrm>
          <a:off x="1962150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858</xdr:row>
      <xdr:rowOff>0</xdr:rowOff>
    </xdr:from>
    <xdr:to>
      <xdr:col>11</xdr:col>
      <xdr:colOff>83820</xdr:colOff>
      <xdr:row>858</xdr:row>
      <xdr:rowOff>114300</xdr:rowOff>
    </xdr:to>
    <xdr:sp macro="" textlink="">
      <xdr:nvSpPr>
        <xdr:cNvPr id="6503" name="Arrow: Down 6502">
          <a:extLst>
            <a:ext uri="{FF2B5EF4-FFF2-40B4-BE49-F238E27FC236}">
              <a16:creationId xmlns:a16="http://schemas.microsoft.com/office/drawing/2014/main" id="{2B3D466E-740E-4CB1-A668-1C68290E8D5F}"/>
            </a:ext>
          </a:extLst>
        </xdr:cNvPr>
        <xdr:cNvSpPr/>
      </xdr:nvSpPr>
      <xdr:spPr>
        <a:xfrm>
          <a:off x="3757613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858</xdr:row>
      <xdr:rowOff>0</xdr:rowOff>
    </xdr:from>
    <xdr:to>
      <xdr:col>45</xdr:col>
      <xdr:colOff>83820</xdr:colOff>
      <xdr:row>858</xdr:row>
      <xdr:rowOff>114300</xdr:rowOff>
    </xdr:to>
    <xdr:sp macro="" textlink="">
      <xdr:nvSpPr>
        <xdr:cNvPr id="6504" name="Arrow: Down 6503">
          <a:extLst>
            <a:ext uri="{FF2B5EF4-FFF2-40B4-BE49-F238E27FC236}">
              <a16:creationId xmlns:a16="http://schemas.microsoft.com/office/drawing/2014/main" id="{E0A74927-0945-4F50-967F-B8801618FD60}"/>
            </a:ext>
          </a:extLst>
        </xdr:cNvPr>
        <xdr:cNvSpPr/>
      </xdr:nvSpPr>
      <xdr:spPr>
        <a:xfrm rot="10800000">
          <a:off x="13644563" y="1593008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858</xdr:row>
      <xdr:rowOff>0</xdr:rowOff>
    </xdr:from>
    <xdr:to>
      <xdr:col>71</xdr:col>
      <xdr:colOff>83820</xdr:colOff>
      <xdr:row>858</xdr:row>
      <xdr:rowOff>114300</xdr:rowOff>
    </xdr:to>
    <xdr:sp macro="" textlink="">
      <xdr:nvSpPr>
        <xdr:cNvPr id="6506" name="Arrow: Down 6505">
          <a:extLst>
            <a:ext uri="{FF2B5EF4-FFF2-40B4-BE49-F238E27FC236}">
              <a16:creationId xmlns:a16="http://schemas.microsoft.com/office/drawing/2014/main" id="{E03468D6-995E-4FB3-A261-2D0F3ECB9BD6}"/>
            </a:ext>
          </a:extLst>
        </xdr:cNvPr>
        <xdr:cNvSpPr/>
      </xdr:nvSpPr>
      <xdr:spPr>
        <a:xfrm rot="10800000">
          <a:off x="22412325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858</xdr:row>
      <xdr:rowOff>0</xdr:rowOff>
    </xdr:from>
    <xdr:to>
      <xdr:col>39</xdr:col>
      <xdr:colOff>83820</xdr:colOff>
      <xdr:row>858</xdr:row>
      <xdr:rowOff>114300</xdr:rowOff>
    </xdr:to>
    <xdr:sp macro="" textlink="">
      <xdr:nvSpPr>
        <xdr:cNvPr id="6507" name="Arrow: Down 6506">
          <a:extLst>
            <a:ext uri="{FF2B5EF4-FFF2-40B4-BE49-F238E27FC236}">
              <a16:creationId xmlns:a16="http://schemas.microsoft.com/office/drawing/2014/main" id="{978F7BF1-E9BB-4ABF-A42F-8B95995A8C6B}"/>
            </a:ext>
          </a:extLst>
        </xdr:cNvPr>
        <xdr:cNvSpPr/>
      </xdr:nvSpPr>
      <xdr:spPr>
        <a:xfrm>
          <a:off x="11753850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853</xdr:row>
      <xdr:rowOff>0</xdr:rowOff>
    </xdr:from>
    <xdr:to>
      <xdr:col>60</xdr:col>
      <xdr:colOff>82233</xdr:colOff>
      <xdr:row>853</xdr:row>
      <xdr:rowOff>114300</xdr:rowOff>
    </xdr:to>
    <xdr:sp macro="" textlink="">
      <xdr:nvSpPr>
        <xdr:cNvPr id="6517" name="Arrow: Down 6516">
          <a:extLst>
            <a:ext uri="{FF2B5EF4-FFF2-40B4-BE49-F238E27FC236}">
              <a16:creationId xmlns:a16="http://schemas.microsoft.com/office/drawing/2014/main" id="{D5900485-133D-4A38-B75A-7786D5688653}"/>
            </a:ext>
          </a:extLst>
        </xdr:cNvPr>
        <xdr:cNvSpPr/>
      </xdr:nvSpPr>
      <xdr:spPr>
        <a:xfrm rot="10800000">
          <a:off x="19483388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858</xdr:row>
      <xdr:rowOff>0</xdr:rowOff>
    </xdr:from>
    <xdr:to>
      <xdr:col>60</xdr:col>
      <xdr:colOff>82233</xdr:colOff>
      <xdr:row>858</xdr:row>
      <xdr:rowOff>114300</xdr:rowOff>
    </xdr:to>
    <xdr:sp macro="" textlink="">
      <xdr:nvSpPr>
        <xdr:cNvPr id="6521" name="Arrow: Down 6520">
          <a:extLst>
            <a:ext uri="{FF2B5EF4-FFF2-40B4-BE49-F238E27FC236}">
              <a16:creationId xmlns:a16="http://schemas.microsoft.com/office/drawing/2014/main" id="{FF4F5CF2-B11C-4452-BABB-64F0DEDB1724}"/>
            </a:ext>
          </a:extLst>
        </xdr:cNvPr>
        <xdr:cNvSpPr/>
      </xdr:nvSpPr>
      <xdr:spPr>
        <a:xfrm rot="10800000">
          <a:off x="19483388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855</xdr:row>
      <xdr:rowOff>0</xdr:rowOff>
    </xdr:from>
    <xdr:to>
      <xdr:col>60</xdr:col>
      <xdr:colOff>82233</xdr:colOff>
      <xdr:row>855</xdr:row>
      <xdr:rowOff>114300</xdr:rowOff>
    </xdr:to>
    <xdr:sp macro="" textlink="">
      <xdr:nvSpPr>
        <xdr:cNvPr id="6522" name="Arrow: Down 6521">
          <a:extLst>
            <a:ext uri="{FF2B5EF4-FFF2-40B4-BE49-F238E27FC236}">
              <a16:creationId xmlns:a16="http://schemas.microsoft.com/office/drawing/2014/main" id="{B524CB2B-0E9C-4D9F-ADFC-B22B23A2A790}"/>
            </a:ext>
          </a:extLst>
        </xdr:cNvPr>
        <xdr:cNvSpPr/>
      </xdr:nvSpPr>
      <xdr:spPr>
        <a:xfrm rot="10800000">
          <a:off x="19483388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856</xdr:row>
      <xdr:rowOff>0</xdr:rowOff>
    </xdr:from>
    <xdr:to>
      <xdr:col>60</xdr:col>
      <xdr:colOff>82233</xdr:colOff>
      <xdr:row>856</xdr:row>
      <xdr:rowOff>114300</xdr:rowOff>
    </xdr:to>
    <xdr:sp macro="" textlink="">
      <xdr:nvSpPr>
        <xdr:cNvPr id="6524" name="Arrow: Down 6523">
          <a:extLst>
            <a:ext uri="{FF2B5EF4-FFF2-40B4-BE49-F238E27FC236}">
              <a16:creationId xmlns:a16="http://schemas.microsoft.com/office/drawing/2014/main" id="{19EB9C85-7F82-4919-B287-40E21DBEADBF}"/>
            </a:ext>
          </a:extLst>
        </xdr:cNvPr>
        <xdr:cNvSpPr/>
      </xdr:nvSpPr>
      <xdr:spPr>
        <a:xfrm rot="10800000">
          <a:off x="19483388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852</xdr:row>
      <xdr:rowOff>0</xdr:rowOff>
    </xdr:from>
    <xdr:to>
      <xdr:col>5</xdr:col>
      <xdr:colOff>82233</xdr:colOff>
      <xdr:row>852</xdr:row>
      <xdr:rowOff>114300</xdr:rowOff>
    </xdr:to>
    <xdr:sp macro="" textlink="">
      <xdr:nvSpPr>
        <xdr:cNvPr id="6525" name="Arrow: Down 6524">
          <a:extLst>
            <a:ext uri="{FF2B5EF4-FFF2-40B4-BE49-F238E27FC236}">
              <a16:creationId xmlns:a16="http://schemas.microsoft.com/office/drawing/2014/main" id="{DC6CC252-33C4-4F8F-9CF8-9AC841196580}"/>
            </a:ext>
          </a:extLst>
        </xdr:cNvPr>
        <xdr:cNvSpPr/>
      </xdr:nvSpPr>
      <xdr:spPr>
        <a:xfrm rot="10800000">
          <a:off x="19621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854</xdr:row>
      <xdr:rowOff>0</xdr:rowOff>
    </xdr:from>
    <xdr:to>
      <xdr:col>11</xdr:col>
      <xdr:colOff>82233</xdr:colOff>
      <xdr:row>854</xdr:row>
      <xdr:rowOff>114300</xdr:rowOff>
    </xdr:to>
    <xdr:sp macro="" textlink="">
      <xdr:nvSpPr>
        <xdr:cNvPr id="6526" name="Arrow: Down 6525">
          <a:extLst>
            <a:ext uri="{FF2B5EF4-FFF2-40B4-BE49-F238E27FC236}">
              <a16:creationId xmlns:a16="http://schemas.microsoft.com/office/drawing/2014/main" id="{8CF3ACDB-29D3-454C-BE23-7932E7A9BC2F}"/>
            </a:ext>
          </a:extLst>
        </xdr:cNvPr>
        <xdr:cNvSpPr/>
      </xdr:nvSpPr>
      <xdr:spPr>
        <a:xfrm rot="10800000">
          <a:off x="3757613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854</xdr:row>
      <xdr:rowOff>0</xdr:rowOff>
    </xdr:from>
    <xdr:to>
      <xdr:col>5</xdr:col>
      <xdr:colOff>82233</xdr:colOff>
      <xdr:row>854</xdr:row>
      <xdr:rowOff>114300</xdr:rowOff>
    </xdr:to>
    <xdr:sp macro="" textlink="">
      <xdr:nvSpPr>
        <xdr:cNvPr id="6527" name="Arrow: Down 6526">
          <a:extLst>
            <a:ext uri="{FF2B5EF4-FFF2-40B4-BE49-F238E27FC236}">
              <a16:creationId xmlns:a16="http://schemas.microsoft.com/office/drawing/2014/main" id="{35B19E38-22A3-49E9-B9DA-7127A76ACBDA}"/>
            </a:ext>
          </a:extLst>
        </xdr:cNvPr>
        <xdr:cNvSpPr/>
      </xdr:nvSpPr>
      <xdr:spPr>
        <a:xfrm rot="10800000">
          <a:off x="1962150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852</xdr:row>
      <xdr:rowOff>0</xdr:rowOff>
    </xdr:from>
    <xdr:to>
      <xdr:col>11</xdr:col>
      <xdr:colOff>82233</xdr:colOff>
      <xdr:row>852</xdr:row>
      <xdr:rowOff>114300</xdr:rowOff>
    </xdr:to>
    <xdr:sp macro="" textlink="">
      <xdr:nvSpPr>
        <xdr:cNvPr id="6528" name="Arrow: Down 6527">
          <a:extLst>
            <a:ext uri="{FF2B5EF4-FFF2-40B4-BE49-F238E27FC236}">
              <a16:creationId xmlns:a16="http://schemas.microsoft.com/office/drawing/2014/main" id="{C792AC58-8B33-4EDF-B924-4EB389934BD2}"/>
            </a:ext>
          </a:extLst>
        </xdr:cNvPr>
        <xdr:cNvSpPr/>
      </xdr:nvSpPr>
      <xdr:spPr>
        <a:xfrm rot="10800000">
          <a:off x="3757613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853</xdr:row>
      <xdr:rowOff>0</xdr:rowOff>
    </xdr:from>
    <xdr:to>
      <xdr:col>5</xdr:col>
      <xdr:colOff>82233</xdr:colOff>
      <xdr:row>853</xdr:row>
      <xdr:rowOff>114300</xdr:rowOff>
    </xdr:to>
    <xdr:sp macro="" textlink="">
      <xdr:nvSpPr>
        <xdr:cNvPr id="6531" name="Arrow: Down 6530">
          <a:extLst>
            <a:ext uri="{FF2B5EF4-FFF2-40B4-BE49-F238E27FC236}">
              <a16:creationId xmlns:a16="http://schemas.microsoft.com/office/drawing/2014/main" id="{0E8895D2-D034-40C9-9310-42E36254FF99}"/>
            </a:ext>
          </a:extLst>
        </xdr:cNvPr>
        <xdr:cNvSpPr/>
      </xdr:nvSpPr>
      <xdr:spPr>
        <a:xfrm rot="10800000">
          <a:off x="1962150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853</xdr:row>
      <xdr:rowOff>0</xdr:rowOff>
    </xdr:from>
    <xdr:to>
      <xdr:col>11</xdr:col>
      <xdr:colOff>82233</xdr:colOff>
      <xdr:row>853</xdr:row>
      <xdr:rowOff>114300</xdr:rowOff>
    </xdr:to>
    <xdr:sp macro="" textlink="">
      <xdr:nvSpPr>
        <xdr:cNvPr id="6532" name="Arrow: Down 6531">
          <a:extLst>
            <a:ext uri="{FF2B5EF4-FFF2-40B4-BE49-F238E27FC236}">
              <a16:creationId xmlns:a16="http://schemas.microsoft.com/office/drawing/2014/main" id="{D2326759-E0E3-4B72-AEBE-03C794B6EFB0}"/>
            </a:ext>
          </a:extLst>
        </xdr:cNvPr>
        <xdr:cNvSpPr/>
      </xdr:nvSpPr>
      <xdr:spPr>
        <a:xfrm rot="10800000">
          <a:off x="3757613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852</xdr:row>
      <xdr:rowOff>0</xdr:rowOff>
    </xdr:from>
    <xdr:to>
      <xdr:col>24</xdr:col>
      <xdr:colOff>82233</xdr:colOff>
      <xdr:row>852</xdr:row>
      <xdr:rowOff>114300</xdr:rowOff>
    </xdr:to>
    <xdr:sp macro="" textlink="">
      <xdr:nvSpPr>
        <xdr:cNvPr id="6533" name="Arrow: Down 6532">
          <a:extLst>
            <a:ext uri="{FF2B5EF4-FFF2-40B4-BE49-F238E27FC236}">
              <a16:creationId xmlns:a16="http://schemas.microsoft.com/office/drawing/2014/main" id="{E27AA8D1-6620-450C-91B0-FC8B66F9C9E8}"/>
            </a:ext>
          </a:extLst>
        </xdr:cNvPr>
        <xdr:cNvSpPr/>
      </xdr:nvSpPr>
      <xdr:spPr>
        <a:xfrm rot="10800000">
          <a:off x="848677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853</xdr:row>
      <xdr:rowOff>0</xdr:rowOff>
    </xdr:from>
    <xdr:to>
      <xdr:col>24</xdr:col>
      <xdr:colOff>82233</xdr:colOff>
      <xdr:row>853</xdr:row>
      <xdr:rowOff>114300</xdr:rowOff>
    </xdr:to>
    <xdr:sp macro="" textlink="">
      <xdr:nvSpPr>
        <xdr:cNvPr id="6541" name="Arrow: Down 6540">
          <a:extLst>
            <a:ext uri="{FF2B5EF4-FFF2-40B4-BE49-F238E27FC236}">
              <a16:creationId xmlns:a16="http://schemas.microsoft.com/office/drawing/2014/main" id="{70A18A9F-B5C0-4DB0-9062-934BE4EC9EB7}"/>
            </a:ext>
          </a:extLst>
        </xdr:cNvPr>
        <xdr:cNvSpPr/>
      </xdr:nvSpPr>
      <xdr:spPr>
        <a:xfrm rot="10800000">
          <a:off x="848677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854</xdr:row>
      <xdr:rowOff>0</xdr:rowOff>
    </xdr:from>
    <xdr:to>
      <xdr:col>24</xdr:col>
      <xdr:colOff>82233</xdr:colOff>
      <xdr:row>854</xdr:row>
      <xdr:rowOff>114300</xdr:rowOff>
    </xdr:to>
    <xdr:sp macro="" textlink="">
      <xdr:nvSpPr>
        <xdr:cNvPr id="6552" name="Arrow: Down 6551">
          <a:extLst>
            <a:ext uri="{FF2B5EF4-FFF2-40B4-BE49-F238E27FC236}">
              <a16:creationId xmlns:a16="http://schemas.microsoft.com/office/drawing/2014/main" id="{A61BC8B5-F17D-49B9-AA19-F00019EBF902}"/>
            </a:ext>
          </a:extLst>
        </xdr:cNvPr>
        <xdr:cNvSpPr/>
      </xdr:nvSpPr>
      <xdr:spPr>
        <a:xfrm rot="10800000">
          <a:off x="848677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855</xdr:row>
      <xdr:rowOff>0</xdr:rowOff>
    </xdr:from>
    <xdr:to>
      <xdr:col>39</xdr:col>
      <xdr:colOff>82233</xdr:colOff>
      <xdr:row>855</xdr:row>
      <xdr:rowOff>114300</xdr:rowOff>
    </xdr:to>
    <xdr:sp macro="" textlink="">
      <xdr:nvSpPr>
        <xdr:cNvPr id="6566" name="Arrow: Down 6565">
          <a:extLst>
            <a:ext uri="{FF2B5EF4-FFF2-40B4-BE49-F238E27FC236}">
              <a16:creationId xmlns:a16="http://schemas.microsoft.com/office/drawing/2014/main" id="{BA2D9D3E-9C09-422C-83A6-F4381C55D6A9}"/>
            </a:ext>
          </a:extLst>
        </xdr:cNvPr>
        <xdr:cNvSpPr/>
      </xdr:nvSpPr>
      <xdr:spPr>
        <a:xfrm rot="10800000">
          <a:off x="11753850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0" name="Arrow: Down 6569">
          <a:extLst>
            <a:ext uri="{FF2B5EF4-FFF2-40B4-BE49-F238E27FC236}">
              <a16:creationId xmlns:a16="http://schemas.microsoft.com/office/drawing/2014/main" id="{6190A5A5-0879-4AB2-821B-108848936780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5" name="Arrow: Down 6574">
          <a:extLst>
            <a:ext uri="{FF2B5EF4-FFF2-40B4-BE49-F238E27FC236}">
              <a16:creationId xmlns:a16="http://schemas.microsoft.com/office/drawing/2014/main" id="{A150C807-0E09-48A8-9FDC-95FA712349DF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854</xdr:row>
      <xdr:rowOff>0</xdr:rowOff>
    </xdr:from>
    <xdr:to>
      <xdr:col>39</xdr:col>
      <xdr:colOff>82233</xdr:colOff>
      <xdr:row>854</xdr:row>
      <xdr:rowOff>114300</xdr:rowOff>
    </xdr:to>
    <xdr:sp macro="" textlink="">
      <xdr:nvSpPr>
        <xdr:cNvPr id="6577" name="Arrow: Down 6576">
          <a:extLst>
            <a:ext uri="{FF2B5EF4-FFF2-40B4-BE49-F238E27FC236}">
              <a16:creationId xmlns:a16="http://schemas.microsoft.com/office/drawing/2014/main" id="{A8C51FED-A8BA-43F7-A694-0FA479F1B8A4}"/>
            </a:ext>
          </a:extLst>
        </xdr:cNvPr>
        <xdr:cNvSpPr/>
      </xdr:nvSpPr>
      <xdr:spPr>
        <a:xfrm rot="10800000">
          <a:off x="11753850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859</xdr:row>
      <xdr:rowOff>0</xdr:rowOff>
    </xdr:from>
    <xdr:to>
      <xdr:col>64</xdr:col>
      <xdr:colOff>83820</xdr:colOff>
      <xdr:row>859</xdr:row>
      <xdr:rowOff>114300</xdr:rowOff>
    </xdr:to>
    <xdr:sp macro="" textlink="">
      <xdr:nvSpPr>
        <xdr:cNvPr id="6272" name="Arrow: Down 6271">
          <a:extLst>
            <a:ext uri="{FF2B5EF4-FFF2-40B4-BE49-F238E27FC236}">
              <a16:creationId xmlns:a16="http://schemas.microsoft.com/office/drawing/2014/main" id="{17B07950-D45E-409E-A52A-1E7FDB296488}"/>
            </a:ext>
          </a:extLst>
        </xdr:cNvPr>
        <xdr:cNvSpPr/>
      </xdr:nvSpPr>
      <xdr:spPr>
        <a:xfrm rot="10800000">
          <a:off x="19754850" y="159486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859</xdr:row>
      <xdr:rowOff>0</xdr:rowOff>
    </xdr:from>
    <xdr:to>
      <xdr:col>71</xdr:col>
      <xdr:colOff>83820</xdr:colOff>
      <xdr:row>859</xdr:row>
      <xdr:rowOff>114300</xdr:rowOff>
    </xdr:to>
    <xdr:sp macro="" textlink="">
      <xdr:nvSpPr>
        <xdr:cNvPr id="6418" name="Arrow: Down 6417">
          <a:extLst>
            <a:ext uri="{FF2B5EF4-FFF2-40B4-BE49-F238E27FC236}">
              <a16:creationId xmlns:a16="http://schemas.microsoft.com/office/drawing/2014/main" id="{98899509-4DED-4450-B514-8B7225D87CE6}"/>
            </a:ext>
          </a:extLst>
        </xdr:cNvPr>
        <xdr:cNvSpPr/>
      </xdr:nvSpPr>
      <xdr:spPr>
        <a:xfrm rot="10800000">
          <a:off x="22412325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860</xdr:row>
      <xdr:rowOff>0</xdr:rowOff>
    </xdr:from>
    <xdr:to>
      <xdr:col>64</xdr:col>
      <xdr:colOff>83820</xdr:colOff>
      <xdr:row>860</xdr:row>
      <xdr:rowOff>114300</xdr:rowOff>
    </xdr:to>
    <xdr:sp macro="" textlink="">
      <xdr:nvSpPr>
        <xdr:cNvPr id="6536" name="Arrow: Down 6535">
          <a:extLst>
            <a:ext uri="{FF2B5EF4-FFF2-40B4-BE49-F238E27FC236}">
              <a16:creationId xmlns:a16="http://schemas.microsoft.com/office/drawing/2014/main" id="{F4041BC5-6341-43C5-87DA-190DA70C4AA9}"/>
            </a:ext>
          </a:extLst>
        </xdr:cNvPr>
        <xdr:cNvSpPr/>
      </xdr:nvSpPr>
      <xdr:spPr>
        <a:xfrm rot="10800000">
          <a:off x="19754850" y="1596723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860</xdr:row>
      <xdr:rowOff>0</xdr:rowOff>
    </xdr:from>
    <xdr:to>
      <xdr:col>71</xdr:col>
      <xdr:colOff>83820</xdr:colOff>
      <xdr:row>860</xdr:row>
      <xdr:rowOff>114300</xdr:rowOff>
    </xdr:to>
    <xdr:sp macro="" textlink="">
      <xdr:nvSpPr>
        <xdr:cNvPr id="6583" name="Arrow: Down 6582">
          <a:extLst>
            <a:ext uri="{FF2B5EF4-FFF2-40B4-BE49-F238E27FC236}">
              <a16:creationId xmlns:a16="http://schemas.microsoft.com/office/drawing/2014/main" id="{55A50865-ADE2-4ECC-9809-B151E0A2E284}"/>
            </a:ext>
          </a:extLst>
        </xdr:cNvPr>
        <xdr:cNvSpPr/>
      </xdr:nvSpPr>
      <xdr:spPr>
        <a:xfrm rot="10800000">
          <a:off x="22412325" y="1596723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860</xdr:row>
      <xdr:rowOff>0</xdr:rowOff>
    </xdr:from>
    <xdr:to>
      <xdr:col>60</xdr:col>
      <xdr:colOff>82233</xdr:colOff>
      <xdr:row>860</xdr:row>
      <xdr:rowOff>114300</xdr:rowOff>
    </xdr:to>
    <xdr:sp macro="" textlink="">
      <xdr:nvSpPr>
        <xdr:cNvPr id="6593" name="Arrow: Down 6592">
          <a:extLst>
            <a:ext uri="{FF2B5EF4-FFF2-40B4-BE49-F238E27FC236}">
              <a16:creationId xmlns:a16="http://schemas.microsoft.com/office/drawing/2014/main" id="{541199F9-DB8A-473C-A201-820821058D5F}"/>
            </a:ext>
          </a:extLst>
        </xdr:cNvPr>
        <xdr:cNvSpPr/>
      </xdr:nvSpPr>
      <xdr:spPr>
        <a:xfrm rot="10800000">
          <a:off x="19483388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861</xdr:row>
      <xdr:rowOff>0</xdr:rowOff>
    </xdr:from>
    <xdr:to>
      <xdr:col>64</xdr:col>
      <xdr:colOff>83820</xdr:colOff>
      <xdr:row>861</xdr:row>
      <xdr:rowOff>114300</xdr:rowOff>
    </xdr:to>
    <xdr:sp macro="" textlink="">
      <xdr:nvSpPr>
        <xdr:cNvPr id="6598" name="Arrow: Down 6597">
          <a:extLst>
            <a:ext uri="{FF2B5EF4-FFF2-40B4-BE49-F238E27FC236}">
              <a16:creationId xmlns:a16="http://schemas.microsoft.com/office/drawing/2014/main" id="{BB8B33AB-DEBB-480D-B126-4BBC07C46CC0}"/>
            </a:ext>
          </a:extLst>
        </xdr:cNvPr>
        <xdr:cNvSpPr/>
      </xdr:nvSpPr>
      <xdr:spPr>
        <a:xfrm rot="10800000">
          <a:off x="19754850" y="159858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861</xdr:row>
      <xdr:rowOff>0</xdr:rowOff>
    </xdr:from>
    <xdr:to>
      <xdr:col>71</xdr:col>
      <xdr:colOff>83820</xdr:colOff>
      <xdr:row>861</xdr:row>
      <xdr:rowOff>114300</xdr:rowOff>
    </xdr:to>
    <xdr:sp macro="" textlink="">
      <xdr:nvSpPr>
        <xdr:cNvPr id="6609" name="Arrow: Down 6608">
          <a:extLst>
            <a:ext uri="{FF2B5EF4-FFF2-40B4-BE49-F238E27FC236}">
              <a16:creationId xmlns:a16="http://schemas.microsoft.com/office/drawing/2014/main" id="{61DCDAAD-53A8-4189-BA8C-3181AD05AB9C}"/>
            </a:ext>
          </a:extLst>
        </xdr:cNvPr>
        <xdr:cNvSpPr/>
      </xdr:nvSpPr>
      <xdr:spPr>
        <a:xfrm rot="10800000">
          <a:off x="22412325" y="1598580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862</xdr:row>
      <xdr:rowOff>0</xdr:rowOff>
    </xdr:from>
    <xdr:to>
      <xdr:col>64</xdr:col>
      <xdr:colOff>83820</xdr:colOff>
      <xdr:row>862</xdr:row>
      <xdr:rowOff>114300</xdr:rowOff>
    </xdr:to>
    <xdr:sp macro="" textlink="">
      <xdr:nvSpPr>
        <xdr:cNvPr id="6612" name="Arrow: Down 6611">
          <a:extLst>
            <a:ext uri="{FF2B5EF4-FFF2-40B4-BE49-F238E27FC236}">
              <a16:creationId xmlns:a16="http://schemas.microsoft.com/office/drawing/2014/main" id="{F9511543-7BFD-47EE-8272-0254EC923369}"/>
            </a:ext>
          </a:extLst>
        </xdr:cNvPr>
        <xdr:cNvSpPr/>
      </xdr:nvSpPr>
      <xdr:spPr>
        <a:xfrm rot="10800000">
          <a:off x="19754850" y="1600438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862</xdr:row>
      <xdr:rowOff>0</xdr:rowOff>
    </xdr:from>
    <xdr:to>
      <xdr:col>24</xdr:col>
      <xdr:colOff>83820</xdr:colOff>
      <xdr:row>862</xdr:row>
      <xdr:rowOff>114300</xdr:rowOff>
    </xdr:to>
    <xdr:sp macro="" textlink="">
      <xdr:nvSpPr>
        <xdr:cNvPr id="6613" name="Arrow: Down 6612">
          <a:extLst>
            <a:ext uri="{FF2B5EF4-FFF2-40B4-BE49-F238E27FC236}">
              <a16:creationId xmlns:a16="http://schemas.microsoft.com/office/drawing/2014/main" id="{9C36F744-8FBB-416D-ABB9-2095244AFA9E}"/>
            </a:ext>
          </a:extLst>
        </xdr:cNvPr>
        <xdr:cNvSpPr/>
      </xdr:nvSpPr>
      <xdr:spPr>
        <a:xfrm>
          <a:off x="8486775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862</xdr:row>
      <xdr:rowOff>0</xdr:rowOff>
    </xdr:from>
    <xdr:to>
      <xdr:col>5</xdr:col>
      <xdr:colOff>83820</xdr:colOff>
      <xdr:row>862</xdr:row>
      <xdr:rowOff>114300</xdr:rowOff>
    </xdr:to>
    <xdr:sp macro="" textlink="">
      <xdr:nvSpPr>
        <xdr:cNvPr id="6614" name="Arrow: Down 6613">
          <a:extLst>
            <a:ext uri="{FF2B5EF4-FFF2-40B4-BE49-F238E27FC236}">
              <a16:creationId xmlns:a16="http://schemas.microsoft.com/office/drawing/2014/main" id="{02F5CC55-AE68-4E60-8B9F-72E7C83A5C40}"/>
            </a:ext>
          </a:extLst>
        </xdr:cNvPr>
        <xdr:cNvSpPr/>
      </xdr:nvSpPr>
      <xdr:spPr>
        <a:xfrm>
          <a:off x="1962150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862</xdr:row>
      <xdr:rowOff>0</xdr:rowOff>
    </xdr:from>
    <xdr:to>
      <xdr:col>11</xdr:col>
      <xdr:colOff>83820</xdr:colOff>
      <xdr:row>862</xdr:row>
      <xdr:rowOff>114300</xdr:rowOff>
    </xdr:to>
    <xdr:sp macro="" textlink="">
      <xdr:nvSpPr>
        <xdr:cNvPr id="6615" name="Arrow: Down 6614">
          <a:extLst>
            <a:ext uri="{FF2B5EF4-FFF2-40B4-BE49-F238E27FC236}">
              <a16:creationId xmlns:a16="http://schemas.microsoft.com/office/drawing/2014/main" id="{7A7E6E33-6541-4138-9BEC-0214D2EDC8D8}"/>
            </a:ext>
          </a:extLst>
        </xdr:cNvPr>
        <xdr:cNvSpPr/>
      </xdr:nvSpPr>
      <xdr:spPr>
        <a:xfrm>
          <a:off x="3757613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862</xdr:row>
      <xdr:rowOff>0</xdr:rowOff>
    </xdr:from>
    <xdr:to>
      <xdr:col>71</xdr:col>
      <xdr:colOff>83820</xdr:colOff>
      <xdr:row>862</xdr:row>
      <xdr:rowOff>114300</xdr:rowOff>
    </xdr:to>
    <xdr:sp macro="" textlink="">
      <xdr:nvSpPr>
        <xdr:cNvPr id="6617" name="Arrow: Down 6616">
          <a:extLst>
            <a:ext uri="{FF2B5EF4-FFF2-40B4-BE49-F238E27FC236}">
              <a16:creationId xmlns:a16="http://schemas.microsoft.com/office/drawing/2014/main" id="{25EAD849-07CE-4881-B1FA-AB1A83D2A38E}"/>
            </a:ext>
          </a:extLst>
        </xdr:cNvPr>
        <xdr:cNvSpPr/>
      </xdr:nvSpPr>
      <xdr:spPr>
        <a:xfrm rot="10800000">
          <a:off x="22412325" y="1600438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862</xdr:row>
      <xdr:rowOff>0</xdr:rowOff>
    </xdr:from>
    <xdr:to>
      <xdr:col>60</xdr:col>
      <xdr:colOff>82233</xdr:colOff>
      <xdr:row>862</xdr:row>
      <xdr:rowOff>114300</xdr:rowOff>
    </xdr:to>
    <xdr:sp macro="" textlink="">
      <xdr:nvSpPr>
        <xdr:cNvPr id="6619" name="Arrow: Down 6618">
          <a:extLst>
            <a:ext uri="{FF2B5EF4-FFF2-40B4-BE49-F238E27FC236}">
              <a16:creationId xmlns:a16="http://schemas.microsoft.com/office/drawing/2014/main" id="{00202632-304C-45C3-856D-AD9CE4A43613}"/>
            </a:ext>
          </a:extLst>
        </xdr:cNvPr>
        <xdr:cNvSpPr/>
      </xdr:nvSpPr>
      <xdr:spPr>
        <a:xfrm rot="10800000">
          <a:off x="19483388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863</xdr:row>
      <xdr:rowOff>0</xdr:rowOff>
    </xdr:from>
    <xdr:to>
      <xdr:col>64</xdr:col>
      <xdr:colOff>83820</xdr:colOff>
      <xdr:row>863</xdr:row>
      <xdr:rowOff>114300</xdr:rowOff>
    </xdr:to>
    <xdr:sp macro="" textlink="">
      <xdr:nvSpPr>
        <xdr:cNvPr id="6628" name="Arrow: Down 6627">
          <a:extLst>
            <a:ext uri="{FF2B5EF4-FFF2-40B4-BE49-F238E27FC236}">
              <a16:creationId xmlns:a16="http://schemas.microsoft.com/office/drawing/2014/main" id="{F90607E7-9AD8-47B9-8DE7-9E2AB90FAE72}"/>
            </a:ext>
          </a:extLst>
        </xdr:cNvPr>
        <xdr:cNvSpPr/>
      </xdr:nvSpPr>
      <xdr:spPr>
        <a:xfrm rot="10800000">
          <a:off x="19754850" y="160229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863</xdr:row>
      <xdr:rowOff>0</xdr:rowOff>
    </xdr:from>
    <xdr:to>
      <xdr:col>45</xdr:col>
      <xdr:colOff>83820</xdr:colOff>
      <xdr:row>863</xdr:row>
      <xdr:rowOff>114300</xdr:rowOff>
    </xdr:to>
    <xdr:sp macro="" textlink="">
      <xdr:nvSpPr>
        <xdr:cNvPr id="6632" name="Arrow: Down 6631">
          <a:extLst>
            <a:ext uri="{FF2B5EF4-FFF2-40B4-BE49-F238E27FC236}">
              <a16:creationId xmlns:a16="http://schemas.microsoft.com/office/drawing/2014/main" id="{167D2A6B-C9B7-496C-B1A8-24B296A0B64B}"/>
            </a:ext>
          </a:extLst>
        </xdr:cNvPr>
        <xdr:cNvSpPr/>
      </xdr:nvSpPr>
      <xdr:spPr>
        <a:xfrm rot="10800000">
          <a:off x="13644563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863</xdr:row>
      <xdr:rowOff>0</xdr:rowOff>
    </xdr:from>
    <xdr:to>
      <xdr:col>39</xdr:col>
      <xdr:colOff>83820</xdr:colOff>
      <xdr:row>863</xdr:row>
      <xdr:rowOff>114300</xdr:rowOff>
    </xdr:to>
    <xdr:sp macro="" textlink="">
      <xdr:nvSpPr>
        <xdr:cNvPr id="6634" name="Arrow: Down 6633">
          <a:extLst>
            <a:ext uri="{FF2B5EF4-FFF2-40B4-BE49-F238E27FC236}">
              <a16:creationId xmlns:a16="http://schemas.microsoft.com/office/drawing/2014/main" id="{D00346B2-9B19-4D92-BE7E-1F4C9D193B59}"/>
            </a:ext>
          </a:extLst>
        </xdr:cNvPr>
        <xdr:cNvSpPr/>
      </xdr:nvSpPr>
      <xdr:spPr>
        <a:xfrm>
          <a:off x="11753850" y="1602295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864</xdr:row>
      <xdr:rowOff>0</xdr:rowOff>
    </xdr:from>
    <xdr:to>
      <xdr:col>64</xdr:col>
      <xdr:colOff>83820</xdr:colOff>
      <xdr:row>864</xdr:row>
      <xdr:rowOff>114300</xdr:rowOff>
    </xdr:to>
    <xdr:sp macro="" textlink="">
      <xdr:nvSpPr>
        <xdr:cNvPr id="6636" name="Arrow: Down 6635">
          <a:extLst>
            <a:ext uri="{FF2B5EF4-FFF2-40B4-BE49-F238E27FC236}">
              <a16:creationId xmlns:a16="http://schemas.microsoft.com/office/drawing/2014/main" id="{ABBDB947-2760-4EED-BDD5-17D35B423BD1}"/>
            </a:ext>
          </a:extLst>
        </xdr:cNvPr>
        <xdr:cNvSpPr/>
      </xdr:nvSpPr>
      <xdr:spPr>
        <a:xfrm rot="10800000">
          <a:off x="19754850" y="1604152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864</xdr:row>
      <xdr:rowOff>0</xdr:rowOff>
    </xdr:from>
    <xdr:to>
      <xdr:col>24</xdr:col>
      <xdr:colOff>83820</xdr:colOff>
      <xdr:row>864</xdr:row>
      <xdr:rowOff>114300</xdr:rowOff>
    </xdr:to>
    <xdr:sp macro="" textlink="">
      <xdr:nvSpPr>
        <xdr:cNvPr id="6637" name="Arrow: Down 6636">
          <a:extLst>
            <a:ext uri="{FF2B5EF4-FFF2-40B4-BE49-F238E27FC236}">
              <a16:creationId xmlns:a16="http://schemas.microsoft.com/office/drawing/2014/main" id="{E55EE662-D605-4691-BFE6-5DAC9ACEA21D}"/>
            </a:ext>
          </a:extLst>
        </xdr:cNvPr>
        <xdr:cNvSpPr/>
      </xdr:nvSpPr>
      <xdr:spPr>
        <a:xfrm>
          <a:off x="848677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864</xdr:row>
      <xdr:rowOff>0</xdr:rowOff>
    </xdr:from>
    <xdr:to>
      <xdr:col>5</xdr:col>
      <xdr:colOff>83820</xdr:colOff>
      <xdr:row>864</xdr:row>
      <xdr:rowOff>114300</xdr:rowOff>
    </xdr:to>
    <xdr:sp macro="" textlink="">
      <xdr:nvSpPr>
        <xdr:cNvPr id="6638" name="Arrow: Down 6637">
          <a:extLst>
            <a:ext uri="{FF2B5EF4-FFF2-40B4-BE49-F238E27FC236}">
              <a16:creationId xmlns:a16="http://schemas.microsoft.com/office/drawing/2014/main" id="{8C21834C-C62C-4309-995A-06F2AB8CA2B8}"/>
            </a:ext>
          </a:extLst>
        </xdr:cNvPr>
        <xdr:cNvSpPr/>
      </xdr:nvSpPr>
      <xdr:spPr>
        <a:xfrm>
          <a:off x="1962150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864</xdr:row>
      <xdr:rowOff>0</xdr:rowOff>
    </xdr:from>
    <xdr:to>
      <xdr:col>11</xdr:col>
      <xdr:colOff>83820</xdr:colOff>
      <xdr:row>864</xdr:row>
      <xdr:rowOff>114300</xdr:rowOff>
    </xdr:to>
    <xdr:sp macro="" textlink="">
      <xdr:nvSpPr>
        <xdr:cNvPr id="6639" name="Arrow: Down 6638">
          <a:extLst>
            <a:ext uri="{FF2B5EF4-FFF2-40B4-BE49-F238E27FC236}">
              <a16:creationId xmlns:a16="http://schemas.microsoft.com/office/drawing/2014/main" id="{374BC7FC-0719-469A-B7DB-72932B57F980}"/>
            </a:ext>
          </a:extLst>
        </xdr:cNvPr>
        <xdr:cNvSpPr/>
      </xdr:nvSpPr>
      <xdr:spPr>
        <a:xfrm>
          <a:off x="3757613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864</xdr:row>
      <xdr:rowOff>0</xdr:rowOff>
    </xdr:from>
    <xdr:to>
      <xdr:col>45</xdr:col>
      <xdr:colOff>83820</xdr:colOff>
      <xdr:row>864</xdr:row>
      <xdr:rowOff>114300</xdr:rowOff>
    </xdr:to>
    <xdr:sp macro="" textlink="">
      <xdr:nvSpPr>
        <xdr:cNvPr id="6640" name="Arrow: Down 6639">
          <a:extLst>
            <a:ext uri="{FF2B5EF4-FFF2-40B4-BE49-F238E27FC236}">
              <a16:creationId xmlns:a16="http://schemas.microsoft.com/office/drawing/2014/main" id="{236C9CAA-489D-4538-ACF7-1D3F5C61E0AF}"/>
            </a:ext>
          </a:extLst>
        </xdr:cNvPr>
        <xdr:cNvSpPr/>
      </xdr:nvSpPr>
      <xdr:spPr>
        <a:xfrm rot="10800000">
          <a:off x="13644563" y="1604152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864</xdr:row>
      <xdr:rowOff>0</xdr:rowOff>
    </xdr:from>
    <xdr:to>
      <xdr:col>71</xdr:col>
      <xdr:colOff>83820</xdr:colOff>
      <xdr:row>864</xdr:row>
      <xdr:rowOff>114300</xdr:rowOff>
    </xdr:to>
    <xdr:sp macro="" textlink="">
      <xdr:nvSpPr>
        <xdr:cNvPr id="6641" name="Arrow: Down 6640">
          <a:extLst>
            <a:ext uri="{FF2B5EF4-FFF2-40B4-BE49-F238E27FC236}">
              <a16:creationId xmlns:a16="http://schemas.microsoft.com/office/drawing/2014/main" id="{AF1FF8DE-5146-4313-8469-BEB9BA4A865A}"/>
            </a:ext>
          </a:extLst>
        </xdr:cNvPr>
        <xdr:cNvSpPr/>
      </xdr:nvSpPr>
      <xdr:spPr>
        <a:xfrm rot="10800000">
          <a:off x="22412325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864</xdr:row>
      <xdr:rowOff>0</xdr:rowOff>
    </xdr:from>
    <xdr:to>
      <xdr:col>39</xdr:col>
      <xdr:colOff>83820</xdr:colOff>
      <xdr:row>864</xdr:row>
      <xdr:rowOff>114300</xdr:rowOff>
    </xdr:to>
    <xdr:sp macro="" textlink="">
      <xdr:nvSpPr>
        <xdr:cNvPr id="6642" name="Arrow: Down 6641">
          <a:extLst>
            <a:ext uri="{FF2B5EF4-FFF2-40B4-BE49-F238E27FC236}">
              <a16:creationId xmlns:a16="http://schemas.microsoft.com/office/drawing/2014/main" id="{AC122A85-7A0E-4FAB-B63B-3D3F737206C0}"/>
            </a:ext>
          </a:extLst>
        </xdr:cNvPr>
        <xdr:cNvSpPr/>
      </xdr:nvSpPr>
      <xdr:spPr>
        <a:xfrm>
          <a:off x="11753850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864</xdr:row>
      <xdr:rowOff>0</xdr:rowOff>
    </xdr:from>
    <xdr:to>
      <xdr:col>60</xdr:col>
      <xdr:colOff>82233</xdr:colOff>
      <xdr:row>864</xdr:row>
      <xdr:rowOff>114300</xdr:rowOff>
    </xdr:to>
    <xdr:sp macro="" textlink="">
      <xdr:nvSpPr>
        <xdr:cNvPr id="6643" name="Arrow: Down 6642">
          <a:extLst>
            <a:ext uri="{FF2B5EF4-FFF2-40B4-BE49-F238E27FC236}">
              <a16:creationId xmlns:a16="http://schemas.microsoft.com/office/drawing/2014/main" id="{11D5876D-EC27-4824-8AF3-02F50645739B}"/>
            </a:ext>
          </a:extLst>
        </xdr:cNvPr>
        <xdr:cNvSpPr/>
      </xdr:nvSpPr>
      <xdr:spPr>
        <a:xfrm rot="10800000">
          <a:off x="19483388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865</xdr:row>
      <xdr:rowOff>0</xdr:rowOff>
    </xdr:from>
    <xdr:to>
      <xdr:col>64</xdr:col>
      <xdr:colOff>83820</xdr:colOff>
      <xdr:row>865</xdr:row>
      <xdr:rowOff>114300</xdr:rowOff>
    </xdr:to>
    <xdr:sp macro="" textlink="">
      <xdr:nvSpPr>
        <xdr:cNvPr id="6644" name="Arrow: Down 6643">
          <a:extLst>
            <a:ext uri="{FF2B5EF4-FFF2-40B4-BE49-F238E27FC236}">
              <a16:creationId xmlns:a16="http://schemas.microsoft.com/office/drawing/2014/main" id="{5E833829-002B-4ABA-855A-3AA9D307EB19}"/>
            </a:ext>
          </a:extLst>
        </xdr:cNvPr>
        <xdr:cNvSpPr/>
      </xdr:nvSpPr>
      <xdr:spPr>
        <a:xfrm rot="10800000">
          <a:off x="19754850" y="160601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865</xdr:row>
      <xdr:rowOff>0</xdr:rowOff>
    </xdr:from>
    <xdr:to>
      <xdr:col>24</xdr:col>
      <xdr:colOff>83820</xdr:colOff>
      <xdr:row>865</xdr:row>
      <xdr:rowOff>114300</xdr:rowOff>
    </xdr:to>
    <xdr:sp macro="" textlink="">
      <xdr:nvSpPr>
        <xdr:cNvPr id="6645" name="Arrow: Down 6644">
          <a:extLst>
            <a:ext uri="{FF2B5EF4-FFF2-40B4-BE49-F238E27FC236}">
              <a16:creationId xmlns:a16="http://schemas.microsoft.com/office/drawing/2014/main" id="{70472204-20B9-45EC-9CCC-EC42DDD0A909}"/>
            </a:ext>
          </a:extLst>
        </xdr:cNvPr>
        <xdr:cNvSpPr/>
      </xdr:nvSpPr>
      <xdr:spPr>
        <a:xfrm>
          <a:off x="8486775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865</xdr:row>
      <xdr:rowOff>0</xdr:rowOff>
    </xdr:from>
    <xdr:to>
      <xdr:col>5</xdr:col>
      <xdr:colOff>83820</xdr:colOff>
      <xdr:row>865</xdr:row>
      <xdr:rowOff>114300</xdr:rowOff>
    </xdr:to>
    <xdr:sp macro="" textlink="">
      <xdr:nvSpPr>
        <xdr:cNvPr id="6646" name="Arrow: Down 6645">
          <a:extLst>
            <a:ext uri="{FF2B5EF4-FFF2-40B4-BE49-F238E27FC236}">
              <a16:creationId xmlns:a16="http://schemas.microsoft.com/office/drawing/2014/main" id="{54CD8A46-EBA6-411E-9049-636C84F255EA}"/>
            </a:ext>
          </a:extLst>
        </xdr:cNvPr>
        <xdr:cNvSpPr/>
      </xdr:nvSpPr>
      <xdr:spPr>
        <a:xfrm>
          <a:off x="1962150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865</xdr:row>
      <xdr:rowOff>0</xdr:rowOff>
    </xdr:from>
    <xdr:to>
      <xdr:col>11</xdr:col>
      <xdr:colOff>83820</xdr:colOff>
      <xdr:row>865</xdr:row>
      <xdr:rowOff>114300</xdr:rowOff>
    </xdr:to>
    <xdr:sp macro="" textlink="">
      <xdr:nvSpPr>
        <xdr:cNvPr id="6647" name="Arrow: Down 6646">
          <a:extLst>
            <a:ext uri="{FF2B5EF4-FFF2-40B4-BE49-F238E27FC236}">
              <a16:creationId xmlns:a16="http://schemas.microsoft.com/office/drawing/2014/main" id="{FDF78900-18FC-4074-83E9-C5DBC979FF0C}"/>
            </a:ext>
          </a:extLst>
        </xdr:cNvPr>
        <xdr:cNvSpPr/>
      </xdr:nvSpPr>
      <xdr:spPr>
        <a:xfrm>
          <a:off x="3757613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865</xdr:row>
      <xdr:rowOff>0</xdr:rowOff>
    </xdr:from>
    <xdr:to>
      <xdr:col>45</xdr:col>
      <xdr:colOff>83820</xdr:colOff>
      <xdr:row>865</xdr:row>
      <xdr:rowOff>114300</xdr:rowOff>
    </xdr:to>
    <xdr:sp macro="" textlink="">
      <xdr:nvSpPr>
        <xdr:cNvPr id="6648" name="Arrow: Down 6647">
          <a:extLst>
            <a:ext uri="{FF2B5EF4-FFF2-40B4-BE49-F238E27FC236}">
              <a16:creationId xmlns:a16="http://schemas.microsoft.com/office/drawing/2014/main" id="{D1CBD68D-E398-4839-911B-3BBDA99A505E}"/>
            </a:ext>
          </a:extLst>
        </xdr:cNvPr>
        <xdr:cNvSpPr/>
      </xdr:nvSpPr>
      <xdr:spPr>
        <a:xfrm rot="10800000">
          <a:off x="13644563" y="1606010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865</xdr:row>
      <xdr:rowOff>0</xdr:rowOff>
    </xdr:from>
    <xdr:to>
      <xdr:col>71</xdr:col>
      <xdr:colOff>83820</xdr:colOff>
      <xdr:row>865</xdr:row>
      <xdr:rowOff>114300</xdr:rowOff>
    </xdr:to>
    <xdr:sp macro="" textlink="">
      <xdr:nvSpPr>
        <xdr:cNvPr id="6649" name="Arrow: Down 6648">
          <a:extLst>
            <a:ext uri="{FF2B5EF4-FFF2-40B4-BE49-F238E27FC236}">
              <a16:creationId xmlns:a16="http://schemas.microsoft.com/office/drawing/2014/main" id="{F030DD43-806A-4151-BCEE-958001053BA2}"/>
            </a:ext>
          </a:extLst>
        </xdr:cNvPr>
        <xdr:cNvSpPr/>
      </xdr:nvSpPr>
      <xdr:spPr>
        <a:xfrm rot="10800000">
          <a:off x="22412325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865</xdr:row>
      <xdr:rowOff>0</xdr:rowOff>
    </xdr:from>
    <xdr:to>
      <xdr:col>39</xdr:col>
      <xdr:colOff>83820</xdr:colOff>
      <xdr:row>865</xdr:row>
      <xdr:rowOff>114300</xdr:rowOff>
    </xdr:to>
    <xdr:sp macro="" textlink="">
      <xdr:nvSpPr>
        <xdr:cNvPr id="6650" name="Arrow: Down 6649">
          <a:extLst>
            <a:ext uri="{FF2B5EF4-FFF2-40B4-BE49-F238E27FC236}">
              <a16:creationId xmlns:a16="http://schemas.microsoft.com/office/drawing/2014/main" id="{5E87210C-F7B3-4AF6-9BE6-34F38AF2EA62}"/>
            </a:ext>
          </a:extLst>
        </xdr:cNvPr>
        <xdr:cNvSpPr/>
      </xdr:nvSpPr>
      <xdr:spPr>
        <a:xfrm>
          <a:off x="11753850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863</xdr:row>
      <xdr:rowOff>0</xdr:rowOff>
    </xdr:from>
    <xdr:to>
      <xdr:col>71</xdr:col>
      <xdr:colOff>82233</xdr:colOff>
      <xdr:row>863</xdr:row>
      <xdr:rowOff>114300</xdr:rowOff>
    </xdr:to>
    <xdr:sp macro="" textlink="">
      <xdr:nvSpPr>
        <xdr:cNvPr id="6653" name="Arrow: Down 6652">
          <a:extLst>
            <a:ext uri="{FF2B5EF4-FFF2-40B4-BE49-F238E27FC236}">
              <a16:creationId xmlns:a16="http://schemas.microsoft.com/office/drawing/2014/main" id="{8D2F1AD0-3D20-4B69-9072-C0407673D3C2}"/>
            </a:ext>
          </a:extLst>
        </xdr:cNvPr>
        <xdr:cNvSpPr/>
      </xdr:nvSpPr>
      <xdr:spPr>
        <a:xfrm>
          <a:off x="2241232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865</xdr:row>
      <xdr:rowOff>0</xdr:rowOff>
    </xdr:from>
    <xdr:to>
      <xdr:col>60</xdr:col>
      <xdr:colOff>82233</xdr:colOff>
      <xdr:row>865</xdr:row>
      <xdr:rowOff>114300</xdr:rowOff>
    </xdr:to>
    <xdr:sp macro="" textlink="">
      <xdr:nvSpPr>
        <xdr:cNvPr id="6654" name="Arrow: Down 6653">
          <a:extLst>
            <a:ext uri="{FF2B5EF4-FFF2-40B4-BE49-F238E27FC236}">
              <a16:creationId xmlns:a16="http://schemas.microsoft.com/office/drawing/2014/main" id="{50E3264C-DFC2-45C7-A802-72ECED175D18}"/>
            </a:ext>
          </a:extLst>
        </xdr:cNvPr>
        <xdr:cNvSpPr/>
      </xdr:nvSpPr>
      <xdr:spPr>
        <a:xfrm>
          <a:off x="19483388" y="160786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859</xdr:row>
      <xdr:rowOff>0</xdr:rowOff>
    </xdr:from>
    <xdr:to>
      <xdr:col>60</xdr:col>
      <xdr:colOff>82233</xdr:colOff>
      <xdr:row>859</xdr:row>
      <xdr:rowOff>114300</xdr:rowOff>
    </xdr:to>
    <xdr:sp macro="" textlink="">
      <xdr:nvSpPr>
        <xdr:cNvPr id="6655" name="Arrow: Down 6654">
          <a:extLst>
            <a:ext uri="{FF2B5EF4-FFF2-40B4-BE49-F238E27FC236}">
              <a16:creationId xmlns:a16="http://schemas.microsoft.com/office/drawing/2014/main" id="{357A3162-CCD3-4D88-9CFC-60E0C4F8BD97}"/>
            </a:ext>
          </a:extLst>
        </xdr:cNvPr>
        <xdr:cNvSpPr/>
      </xdr:nvSpPr>
      <xdr:spPr>
        <a:xfrm>
          <a:off x="19483388" y="159672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861</xdr:row>
      <xdr:rowOff>0</xdr:rowOff>
    </xdr:from>
    <xdr:to>
      <xdr:col>60</xdr:col>
      <xdr:colOff>82233</xdr:colOff>
      <xdr:row>861</xdr:row>
      <xdr:rowOff>114300</xdr:rowOff>
    </xdr:to>
    <xdr:sp macro="" textlink="">
      <xdr:nvSpPr>
        <xdr:cNvPr id="6656" name="Arrow: Down 6655">
          <a:extLst>
            <a:ext uri="{FF2B5EF4-FFF2-40B4-BE49-F238E27FC236}">
              <a16:creationId xmlns:a16="http://schemas.microsoft.com/office/drawing/2014/main" id="{9206ACAB-9A1A-427B-8594-4FB80B03716F}"/>
            </a:ext>
          </a:extLst>
        </xdr:cNvPr>
        <xdr:cNvSpPr/>
      </xdr:nvSpPr>
      <xdr:spPr>
        <a:xfrm>
          <a:off x="19483388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863</xdr:row>
      <xdr:rowOff>0</xdr:rowOff>
    </xdr:from>
    <xdr:to>
      <xdr:col>60</xdr:col>
      <xdr:colOff>82233</xdr:colOff>
      <xdr:row>863</xdr:row>
      <xdr:rowOff>114300</xdr:rowOff>
    </xdr:to>
    <xdr:sp macro="" textlink="">
      <xdr:nvSpPr>
        <xdr:cNvPr id="6657" name="Arrow: Down 6656">
          <a:extLst>
            <a:ext uri="{FF2B5EF4-FFF2-40B4-BE49-F238E27FC236}">
              <a16:creationId xmlns:a16="http://schemas.microsoft.com/office/drawing/2014/main" id="{AB924EAD-BCBF-4A0B-B374-6C2E22F81627}"/>
            </a:ext>
          </a:extLst>
        </xdr:cNvPr>
        <xdr:cNvSpPr/>
      </xdr:nvSpPr>
      <xdr:spPr>
        <a:xfrm>
          <a:off x="19483388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859</xdr:row>
      <xdr:rowOff>0</xdr:rowOff>
    </xdr:from>
    <xdr:to>
      <xdr:col>39</xdr:col>
      <xdr:colOff>82233</xdr:colOff>
      <xdr:row>859</xdr:row>
      <xdr:rowOff>114300</xdr:rowOff>
    </xdr:to>
    <xdr:sp macro="" textlink="">
      <xdr:nvSpPr>
        <xdr:cNvPr id="6659" name="Arrow: Down 6658">
          <a:extLst>
            <a:ext uri="{FF2B5EF4-FFF2-40B4-BE49-F238E27FC236}">
              <a16:creationId xmlns:a16="http://schemas.microsoft.com/office/drawing/2014/main" id="{A6E5865F-DA19-479D-BC30-9F60DE8C6E40}"/>
            </a:ext>
          </a:extLst>
        </xdr:cNvPr>
        <xdr:cNvSpPr/>
      </xdr:nvSpPr>
      <xdr:spPr>
        <a:xfrm rot="10800000">
          <a:off x="11753850" y="1596723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862</xdr:row>
      <xdr:rowOff>0</xdr:rowOff>
    </xdr:from>
    <xdr:to>
      <xdr:col>39</xdr:col>
      <xdr:colOff>82233</xdr:colOff>
      <xdr:row>862</xdr:row>
      <xdr:rowOff>114300</xdr:rowOff>
    </xdr:to>
    <xdr:sp macro="" textlink="">
      <xdr:nvSpPr>
        <xdr:cNvPr id="6661" name="Arrow: Down 6660">
          <a:extLst>
            <a:ext uri="{FF2B5EF4-FFF2-40B4-BE49-F238E27FC236}">
              <a16:creationId xmlns:a16="http://schemas.microsoft.com/office/drawing/2014/main" id="{F177EF58-82C4-4E9C-8B07-58BC2615FB10}"/>
            </a:ext>
          </a:extLst>
        </xdr:cNvPr>
        <xdr:cNvSpPr/>
      </xdr:nvSpPr>
      <xdr:spPr>
        <a:xfrm rot="10800000">
          <a:off x="11753850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860</xdr:row>
      <xdr:rowOff>0</xdr:rowOff>
    </xdr:from>
    <xdr:to>
      <xdr:col>39</xdr:col>
      <xdr:colOff>82233</xdr:colOff>
      <xdr:row>860</xdr:row>
      <xdr:rowOff>114300</xdr:rowOff>
    </xdr:to>
    <xdr:sp macro="" textlink="">
      <xdr:nvSpPr>
        <xdr:cNvPr id="6663" name="Arrow: Down 6662">
          <a:extLst>
            <a:ext uri="{FF2B5EF4-FFF2-40B4-BE49-F238E27FC236}">
              <a16:creationId xmlns:a16="http://schemas.microsoft.com/office/drawing/2014/main" id="{EFC5401A-F5C6-4147-941E-7FA6878D0D53}"/>
            </a:ext>
          </a:extLst>
        </xdr:cNvPr>
        <xdr:cNvSpPr/>
      </xdr:nvSpPr>
      <xdr:spPr>
        <a:xfrm rot="10800000">
          <a:off x="11753850" y="1598580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861</xdr:row>
      <xdr:rowOff>0</xdr:rowOff>
    </xdr:from>
    <xdr:to>
      <xdr:col>39</xdr:col>
      <xdr:colOff>82233</xdr:colOff>
      <xdr:row>861</xdr:row>
      <xdr:rowOff>114300</xdr:rowOff>
    </xdr:to>
    <xdr:sp macro="" textlink="">
      <xdr:nvSpPr>
        <xdr:cNvPr id="6665" name="Arrow: Down 6664">
          <a:extLst>
            <a:ext uri="{FF2B5EF4-FFF2-40B4-BE49-F238E27FC236}">
              <a16:creationId xmlns:a16="http://schemas.microsoft.com/office/drawing/2014/main" id="{35FFB62E-E754-43BD-B71E-B697C8E1618B}"/>
            </a:ext>
          </a:extLst>
        </xdr:cNvPr>
        <xdr:cNvSpPr/>
      </xdr:nvSpPr>
      <xdr:spPr>
        <a:xfrm rot="10800000">
          <a:off x="11753850" y="1600438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859</xdr:row>
      <xdr:rowOff>0</xdr:rowOff>
    </xdr:from>
    <xdr:to>
      <xdr:col>45</xdr:col>
      <xdr:colOff>80646</xdr:colOff>
      <xdr:row>859</xdr:row>
      <xdr:rowOff>114300</xdr:rowOff>
    </xdr:to>
    <xdr:sp macro="" textlink="">
      <xdr:nvSpPr>
        <xdr:cNvPr id="6667" name="Arrow: Down 6666">
          <a:extLst>
            <a:ext uri="{FF2B5EF4-FFF2-40B4-BE49-F238E27FC236}">
              <a16:creationId xmlns:a16="http://schemas.microsoft.com/office/drawing/2014/main" id="{6BE2C6D2-1597-4969-B48E-7F34D5DB4CD1}"/>
            </a:ext>
          </a:extLst>
        </xdr:cNvPr>
        <xdr:cNvSpPr/>
      </xdr:nvSpPr>
      <xdr:spPr>
        <a:xfrm rot="10800000">
          <a:off x="1364456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862</xdr:row>
      <xdr:rowOff>0</xdr:rowOff>
    </xdr:from>
    <xdr:to>
      <xdr:col>45</xdr:col>
      <xdr:colOff>80646</xdr:colOff>
      <xdr:row>862</xdr:row>
      <xdr:rowOff>114300</xdr:rowOff>
    </xdr:to>
    <xdr:sp macro="" textlink="">
      <xdr:nvSpPr>
        <xdr:cNvPr id="6668" name="Arrow: Down 6667">
          <a:extLst>
            <a:ext uri="{FF2B5EF4-FFF2-40B4-BE49-F238E27FC236}">
              <a16:creationId xmlns:a16="http://schemas.microsoft.com/office/drawing/2014/main" id="{4D566F27-802E-4DF2-9F80-9F3661F54EC2}"/>
            </a:ext>
          </a:extLst>
        </xdr:cNvPr>
        <xdr:cNvSpPr/>
      </xdr:nvSpPr>
      <xdr:spPr>
        <a:xfrm rot="10800000">
          <a:off x="13644563" y="160229550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861</xdr:row>
      <xdr:rowOff>0</xdr:rowOff>
    </xdr:from>
    <xdr:to>
      <xdr:col>45</xdr:col>
      <xdr:colOff>80646</xdr:colOff>
      <xdr:row>861</xdr:row>
      <xdr:rowOff>114300</xdr:rowOff>
    </xdr:to>
    <xdr:sp macro="" textlink="">
      <xdr:nvSpPr>
        <xdr:cNvPr id="6669" name="Arrow: Down 6668">
          <a:extLst>
            <a:ext uri="{FF2B5EF4-FFF2-40B4-BE49-F238E27FC236}">
              <a16:creationId xmlns:a16="http://schemas.microsoft.com/office/drawing/2014/main" id="{B0B7650D-F5F9-4189-8E74-63758D3B032E}"/>
            </a:ext>
          </a:extLst>
        </xdr:cNvPr>
        <xdr:cNvSpPr/>
      </xdr:nvSpPr>
      <xdr:spPr>
        <a:xfrm rot="10800000">
          <a:off x="1364456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860</xdr:row>
      <xdr:rowOff>0</xdr:rowOff>
    </xdr:from>
    <xdr:to>
      <xdr:col>45</xdr:col>
      <xdr:colOff>80646</xdr:colOff>
      <xdr:row>860</xdr:row>
      <xdr:rowOff>114300</xdr:rowOff>
    </xdr:to>
    <xdr:sp macro="" textlink="">
      <xdr:nvSpPr>
        <xdr:cNvPr id="6670" name="Arrow: Down 6669">
          <a:extLst>
            <a:ext uri="{FF2B5EF4-FFF2-40B4-BE49-F238E27FC236}">
              <a16:creationId xmlns:a16="http://schemas.microsoft.com/office/drawing/2014/main" id="{9643A2B8-5B85-41AC-ADE6-B813B8D56E54}"/>
            </a:ext>
          </a:extLst>
        </xdr:cNvPr>
        <xdr:cNvSpPr/>
      </xdr:nvSpPr>
      <xdr:spPr>
        <a:xfrm rot="10800000">
          <a:off x="1364456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863</xdr:row>
      <xdr:rowOff>0</xdr:rowOff>
    </xdr:from>
    <xdr:to>
      <xdr:col>5</xdr:col>
      <xdr:colOff>80646</xdr:colOff>
      <xdr:row>863</xdr:row>
      <xdr:rowOff>114300</xdr:rowOff>
    </xdr:to>
    <xdr:sp macro="" textlink="">
      <xdr:nvSpPr>
        <xdr:cNvPr id="6672" name="Arrow: Down 6671">
          <a:extLst>
            <a:ext uri="{FF2B5EF4-FFF2-40B4-BE49-F238E27FC236}">
              <a16:creationId xmlns:a16="http://schemas.microsoft.com/office/drawing/2014/main" id="{E33E41A8-2CFE-4DB6-958F-D4763DACA70C}"/>
            </a:ext>
          </a:extLst>
        </xdr:cNvPr>
        <xdr:cNvSpPr/>
      </xdr:nvSpPr>
      <xdr:spPr>
        <a:xfrm rot="10800000">
          <a:off x="1962150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861</xdr:row>
      <xdr:rowOff>0</xdr:rowOff>
    </xdr:from>
    <xdr:to>
      <xdr:col>5</xdr:col>
      <xdr:colOff>80646</xdr:colOff>
      <xdr:row>861</xdr:row>
      <xdr:rowOff>114300</xdr:rowOff>
    </xdr:to>
    <xdr:sp macro="" textlink="">
      <xdr:nvSpPr>
        <xdr:cNvPr id="6673" name="Arrow: Down 6672">
          <a:extLst>
            <a:ext uri="{FF2B5EF4-FFF2-40B4-BE49-F238E27FC236}">
              <a16:creationId xmlns:a16="http://schemas.microsoft.com/office/drawing/2014/main" id="{A685CAF0-81B3-498F-992D-ABCEBC3DA83E}"/>
            </a:ext>
          </a:extLst>
        </xdr:cNvPr>
        <xdr:cNvSpPr/>
      </xdr:nvSpPr>
      <xdr:spPr>
        <a:xfrm rot="10800000">
          <a:off x="1962150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860</xdr:row>
      <xdr:rowOff>0</xdr:rowOff>
    </xdr:from>
    <xdr:to>
      <xdr:col>5</xdr:col>
      <xdr:colOff>80646</xdr:colOff>
      <xdr:row>860</xdr:row>
      <xdr:rowOff>114300</xdr:rowOff>
    </xdr:to>
    <xdr:sp macro="" textlink="">
      <xdr:nvSpPr>
        <xdr:cNvPr id="6675" name="Arrow: Down 6674">
          <a:extLst>
            <a:ext uri="{FF2B5EF4-FFF2-40B4-BE49-F238E27FC236}">
              <a16:creationId xmlns:a16="http://schemas.microsoft.com/office/drawing/2014/main" id="{28CF0EB0-0B94-4076-9CC0-75FE364A33D1}"/>
            </a:ext>
          </a:extLst>
        </xdr:cNvPr>
        <xdr:cNvSpPr/>
      </xdr:nvSpPr>
      <xdr:spPr>
        <a:xfrm rot="10800000">
          <a:off x="1962150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859</xdr:row>
      <xdr:rowOff>0</xdr:rowOff>
    </xdr:from>
    <xdr:to>
      <xdr:col>5</xdr:col>
      <xdr:colOff>80646</xdr:colOff>
      <xdr:row>859</xdr:row>
      <xdr:rowOff>114300</xdr:rowOff>
    </xdr:to>
    <xdr:sp macro="" textlink="">
      <xdr:nvSpPr>
        <xdr:cNvPr id="6677" name="Arrow: Down 6676">
          <a:extLst>
            <a:ext uri="{FF2B5EF4-FFF2-40B4-BE49-F238E27FC236}">
              <a16:creationId xmlns:a16="http://schemas.microsoft.com/office/drawing/2014/main" id="{62B3D9EF-1FA5-4FF4-A8E1-2877A4D9A75E}"/>
            </a:ext>
          </a:extLst>
        </xdr:cNvPr>
        <xdr:cNvSpPr/>
      </xdr:nvSpPr>
      <xdr:spPr>
        <a:xfrm rot="10800000">
          <a:off x="1962150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863</xdr:row>
      <xdr:rowOff>0</xdr:rowOff>
    </xdr:from>
    <xdr:to>
      <xdr:col>11</xdr:col>
      <xdr:colOff>80646</xdr:colOff>
      <xdr:row>863</xdr:row>
      <xdr:rowOff>114300</xdr:rowOff>
    </xdr:to>
    <xdr:sp macro="" textlink="">
      <xdr:nvSpPr>
        <xdr:cNvPr id="6679" name="Arrow: Down 6678">
          <a:extLst>
            <a:ext uri="{FF2B5EF4-FFF2-40B4-BE49-F238E27FC236}">
              <a16:creationId xmlns:a16="http://schemas.microsoft.com/office/drawing/2014/main" id="{D55F2558-00CF-4F09-B979-0F602D01B093}"/>
            </a:ext>
          </a:extLst>
        </xdr:cNvPr>
        <xdr:cNvSpPr/>
      </xdr:nvSpPr>
      <xdr:spPr>
        <a:xfrm rot="10800000">
          <a:off x="3757613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861</xdr:row>
      <xdr:rowOff>0</xdr:rowOff>
    </xdr:from>
    <xdr:to>
      <xdr:col>11</xdr:col>
      <xdr:colOff>80646</xdr:colOff>
      <xdr:row>861</xdr:row>
      <xdr:rowOff>114300</xdr:rowOff>
    </xdr:to>
    <xdr:sp macro="" textlink="">
      <xdr:nvSpPr>
        <xdr:cNvPr id="6681" name="Arrow: Down 6680">
          <a:extLst>
            <a:ext uri="{FF2B5EF4-FFF2-40B4-BE49-F238E27FC236}">
              <a16:creationId xmlns:a16="http://schemas.microsoft.com/office/drawing/2014/main" id="{C9614F1E-F2FE-4829-8129-F918A0611996}"/>
            </a:ext>
          </a:extLst>
        </xdr:cNvPr>
        <xdr:cNvSpPr/>
      </xdr:nvSpPr>
      <xdr:spPr>
        <a:xfrm rot="10800000">
          <a:off x="375761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860</xdr:row>
      <xdr:rowOff>0</xdr:rowOff>
    </xdr:from>
    <xdr:to>
      <xdr:col>11</xdr:col>
      <xdr:colOff>80646</xdr:colOff>
      <xdr:row>860</xdr:row>
      <xdr:rowOff>114300</xdr:rowOff>
    </xdr:to>
    <xdr:sp macro="" textlink="">
      <xdr:nvSpPr>
        <xdr:cNvPr id="6682" name="Arrow: Down 6681">
          <a:extLst>
            <a:ext uri="{FF2B5EF4-FFF2-40B4-BE49-F238E27FC236}">
              <a16:creationId xmlns:a16="http://schemas.microsoft.com/office/drawing/2014/main" id="{0D8DACAE-D178-4375-82A5-B65A58C52243}"/>
            </a:ext>
          </a:extLst>
        </xdr:cNvPr>
        <xdr:cNvSpPr/>
      </xdr:nvSpPr>
      <xdr:spPr>
        <a:xfrm rot="10800000">
          <a:off x="375761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859</xdr:row>
      <xdr:rowOff>0</xdr:rowOff>
    </xdr:from>
    <xdr:to>
      <xdr:col>11</xdr:col>
      <xdr:colOff>80646</xdr:colOff>
      <xdr:row>859</xdr:row>
      <xdr:rowOff>114300</xdr:rowOff>
    </xdr:to>
    <xdr:sp macro="" textlink="">
      <xdr:nvSpPr>
        <xdr:cNvPr id="6683" name="Arrow: Down 6682">
          <a:extLst>
            <a:ext uri="{FF2B5EF4-FFF2-40B4-BE49-F238E27FC236}">
              <a16:creationId xmlns:a16="http://schemas.microsoft.com/office/drawing/2014/main" id="{3AF149C9-47C9-499F-84AB-4CD676D1DD83}"/>
            </a:ext>
          </a:extLst>
        </xdr:cNvPr>
        <xdr:cNvSpPr/>
      </xdr:nvSpPr>
      <xdr:spPr>
        <a:xfrm rot="10800000">
          <a:off x="375761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863</xdr:row>
      <xdr:rowOff>0</xdr:rowOff>
    </xdr:from>
    <xdr:to>
      <xdr:col>24</xdr:col>
      <xdr:colOff>80646</xdr:colOff>
      <xdr:row>863</xdr:row>
      <xdr:rowOff>114300</xdr:rowOff>
    </xdr:to>
    <xdr:sp macro="" textlink="">
      <xdr:nvSpPr>
        <xdr:cNvPr id="6684" name="Arrow: Down 6683">
          <a:extLst>
            <a:ext uri="{FF2B5EF4-FFF2-40B4-BE49-F238E27FC236}">
              <a16:creationId xmlns:a16="http://schemas.microsoft.com/office/drawing/2014/main" id="{B3FB0453-7206-451C-B5AB-881E3FE06382}"/>
            </a:ext>
          </a:extLst>
        </xdr:cNvPr>
        <xdr:cNvSpPr/>
      </xdr:nvSpPr>
      <xdr:spPr>
        <a:xfrm rot="10800000">
          <a:off x="8486775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861</xdr:row>
      <xdr:rowOff>0</xdr:rowOff>
    </xdr:from>
    <xdr:to>
      <xdr:col>24</xdr:col>
      <xdr:colOff>80646</xdr:colOff>
      <xdr:row>861</xdr:row>
      <xdr:rowOff>114300</xdr:rowOff>
    </xdr:to>
    <xdr:sp macro="" textlink="">
      <xdr:nvSpPr>
        <xdr:cNvPr id="6686" name="Arrow: Down 6685">
          <a:extLst>
            <a:ext uri="{FF2B5EF4-FFF2-40B4-BE49-F238E27FC236}">
              <a16:creationId xmlns:a16="http://schemas.microsoft.com/office/drawing/2014/main" id="{94B2125F-83E8-4642-88CB-E653D221A265}"/>
            </a:ext>
          </a:extLst>
        </xdr:cNvPr>
        <xdr:cNvSpPr/>
      </xdr:nvSpPr>
      <xdr:spPr>
        <a:xfrm rot="10800000">
          <a:off x="8486775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860</xdr:row>
      <xdr:rowOff>0</xdr:rowOff>
    </xdr:from>
    <xdr:to>
      <xdr:col>24</xdr:col>
      <xdr:colOff>80646</xdr:colOff>
      <xdr:row>860</xdr:row>
      <xdr:rowOff>114300</xdr:rowOff>
    </xdr:to>
    <xdr:sp macro="" textlink="">
      <xdr:nvSpPr>
        <xdr:cNvPr id="6687" name="Arrow: Down 6686">
          <a:extLst>
            <a:ext uri="{FF2B5EF4-FFF2-40B4-BE49-F238E27FC236}">
              <a16:creationId xmlns:a16="http://schemas.microsoft.com/office/drawing/2014/main" id="{59BEBCF1-5BF8-4780-9555-4961370ACB08}"/>
            </a:ext>
          </a:extLst>
        </xdr:cNvPr>
        <xdr:cNvSpPr/>
      </xdr:nvSpPr>
      <xdr:spPr>
        <a:xfrm rot="10800000">
          <a:off x="8486775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859</xdr:row>
      <xdr:rowOff>0</xdr:rowOff>
    </xdr:from>
    <xdr:to>
      <xdr:col>24</xdr:col>
      <xdr:colOff>80646</xdr:colOff>
      <xdr:row>859</xdr:row>
      <xdr:rowOff>114300</xdr:rowOff>
    </xdr:to>
    <xdr:sp macro="" textlink="">
      <xdr:nvSpPr>
        <xdr:cNvPr id="6688" name="Arrow: Down 6687">
          <a:extLst>
            <a:ext uri="{FF2B5EF4-FFF2-40B4-BE49-F238E27FC236}">
              <a16:creationId xmlns:a16="http://schemas.microsoft.com/office/drawing/2014/main" id="{48B4BA48-5B87-4715-B205-7F255D4548C1}"/>
            </a:ext>
          </a:extLst>
        </xdr:cNvPr>
        <xdr:cNvSpPr/>
      </xdr:nvSpPr>
      <xdr:spPr>
        <a:xfrm rot="10800000">
          <a:off x="8486775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866</xdr:row>
      <xdr:rowOff>0</xdr:rowOff>
    </xdr:from>
    <xdr:to>
      <xdr:col>64</xdr:col>
      <xdr:colOff>83820</xdr:colOff>
      <xdr:row>866</xdr:row>
      <xdr:rowOff>114300</xdr:rowOff>
    </xdr:to>
    <xdr:sp macro="" textlink="">
      <xdr:nvSpPr>
        <xdr:cNvPr id="6689" name="Arrow: Down 6688">
          <a:extLst>
            <a:ext uri="{FF2B5EF4-FFF2-40B4-BE49-F238E27FC236}">
              <a16:creationId xmlns:a16="http://schemas.microsoft.com/office/drawing/2014/main" id="{FDDF7BC8-5571-4C46-9A6A-8A4C61EDAAA2}"/>
            </a:ext>
          </a:extLst>
        </xdr:cNvPr>
        <xdr:cNvSpPr/>
      </xdr:nvSpPr>
      <xdr:spPr>
        <a:xfrm rot="10800000">
          <a:off x="19754850" y="1607867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866</xdr:row>
      <xdr:rowOff>0</xdr:rowOff>
    </xdr:from>
    <xdr:to>
      <xdr:col>45</xdr:col>
      <xdr:colOff>83820</xdr:colOff>
      <xdr:row>866</xdr:row>
      <xdr:rowOff>114300</xdr:rowOff>
    </xdr:to>
    <xdr:sp macro="" textlink="">
      <xdr:nvSpPr>
        <xdr:cNvPr id="6693" name="Arrow: Down 6692">
          <a:extLst>
            <a:ext uri="{FF2B5EF4-FFF2-40B4-BE49-F238E27FC236}">
              <a16:creationId xmlns:a16="http://schemas.microsoft.com/office/drawing/2014/main" id="{EF8395E2-8239-41DC-BA0E-F1A85966AC65}"/>
            </a:ext>
          </a:extLst>
        </xdr:cNvPr>
        <xdr:cNvSpPr/>
      </xdr:nvSpPr>
      <xdr:spPr>
        <a:xfrm rot="10800000">
          <a:off x="13644563" y="1607867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866</xdr:row>
      <xdr:rowOff>0</xdr:rowOff>
    </xdr:from>
    <xdr:to>
      <xdr:col>71</xdr:col>
      <xdr:colOff>83820</xdr:colOff>
      <xdr:row>866</xdr:row>
      <xdr:rowOff>114300</xdr:rowOff>
    </xdr:to>
    <xdr:sp macro="" textlink="">
      <xdr:nvSpPr>
        <xdr:cNvPr id="6694" name="Arrow: Down 6693">
          <a:extLst>
            <a:ext uri="{FF2B5EF4-FFF2-40B4-BE49-F238E27FC236}">
              <a16:creationId xmlns:a16="http://schemas.microsoft.com/office/drawing/2014/main" id="{4D206461-58B7-4E6A-B436-6FC93CE91574}"/>
            </a:ext>
          </a:extLst>
        </xdr:cNvPr>
        <xdr:cNvSpPr/>
      </xdr:nvSpPr>
      <xdr:spPr>
        <a:xfrm rot="10800000">
          <a:off x="22412325" y="1607867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866</xdr:row>
      <xdr:rowOff>0</xdr:rowOff>
    </xdr:from>
    <xdr:to>
      <xdr:col>60</xdr:col>
      <xdr:colOff>82233</xdr:colOff>
      <xdr:row>866</xdr:row>
      <xdr:rowOff>114300</xdr:rowOff>
    </xdr:to>
    <xdr:sp macro="" textlink="">
      <xdr:nvSpPr>
        <xdr:cNvPr id="6696" name="Arrow: Down 6695">
          <a:extLst>
            <a:ext uri="{FF2B5EF4-FFF2-40B4-BE49-F238E27FC236}">
              <a16:creationId xmlns:a16="http://schemas.microsoft.com/office/drawing/2014/main" id="{D1A28266-941B-4209-80DE-2BA700E4E2DF}"/>
            </a:ext>
          </a:extLst>
        </xdr:cNvPr>
        <xdr:cNvSpPr/>
      </xdr:nvSpPr>
      <xdr:spPr>
        <a:xfrm>
          <a:off x="19483388" y="16078676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867</xdr:row>
      <xdr:rowOff>0</xdr:rowOff>
    </xdr:from>
    <xdr:to>
      <xdr:col>64</xdr:col>
      <xdr:colOff>83820</xdr:colOff>
      <xdr:row>867</xdr:row>
      <xdr:rowOff>114300</xdr:rowOff>
    </xdr:to>
    <xdr:sp macro="" textlink="">
      <xdr:nvSpPr>
        <xdr:cNvPr id="6380" name="Arrow: Down 6379">
          <a:extLst>
            <a:ext uri="{FF2B5EF4-FFF2-40B4-BE49-F238E27FC236}">
              <a16:creationId xmlns:a16="http://schemas.microsoft.com/office/drawing/2014/main" id="{51EE3946-595F-4913-A885-44884884BE6F}"/>
            </a:ext>
          </a:extLst>
        </xdr:cNvPr>
        <xdr:cNvSpPr/>
      </xdr:nvSpPr>
      <xdr:spPr>
        <a:xfrm rot="10800000">
          <a:off x="19754850" y="16097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867</xdr:row>
      <xdr:rowOff>0</xdr:rowOff>
    </xdr:from>
    <xdr:to>
      <xdr:col>45</xdr:col>
      <xdr:colOff>83820</xdr:colOff>
      <xdr:row>867</xdr:row>
      <xdr:rowOff>114300</xdr:rowOff>
    </xdr:to>
    <xdr:sp macro="" textlink="">
      <xdr:nvSpPr>
        <xdr:cNvPr id="6447" name="Arrow: Down 6446">
          <a:extLst>
            <a:ext uri="{FF2B5EF4-FFF2-40B4-BE49-F238E27FC236}">
              <a16:creationId xmlns:a16="http://schemas.microsoft.com/office/drawing/2014/main" id="{27DC1CE2-891D-4747-B2EB-B213C9A40BA9}"/>
            </a:ext>
          </a:extLst>
        </xdr:cNvPr>
        <xdr:cNvSpPr/>
      </xdr:nvSpPr>
      <xdr:spPr>
        <a:xfrm rot="10800000">
          <a:off x="13644563" y="1609725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867</xdr:row>
      <xdr:rowOff>0</xdr:rowOff>
    </xdr:from>
    <xdr:to>
      <xdr:col>71</xdr:col>
      <xdr:colOff>83820</xdr:colOff>
      <xdr:row>867</xdr:row>
      <xdr:rowOff>114300</xdr:rowOff>
    </xdr:to>
    <xdr:sp macro="" textlink="">
      <xdr:nvSpPr>
        <xdr:cNvPr id="6448" name="Arrow: Down 6447">
          <a:extLst>
            <a:ext uri="{FF2B5EF4-FFF2-40B4-BE49-F238E27FC236}">
              <a16:creationId xmlns:a16="http://schemas.microsoft.com/office/drawing/2014/main" id="{0844CB01-FB48-4D41-8222-159B4804AAAE}"/>
            </a:ext>
          </a:extLst>
        </xdr:cNvPr>
        <xdr:cNvSpPr/>
      </xdr:nvSpPr>
      <xdr:spPr>
        <a:xfrm rot="10800000">
          <a:off x="22412325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867</xdr:row>
      <xdr:rowOff>0</xdr:rowOff>
    </xdr:from>
    <xdr:to>
      <xdr:col>39</xdr:col>
      <xdr:colOff>83820</xdr:colOff>
      <xdr:row>867</xdr:row>
      <xdr:rowOff>114300</xdr:rowOff>
    </xdr:to>
    <xdr:sp macro="" textlink="">
      <xdr:nvSpPr>
        <xdr:cNvPr id="6452" name="Arrow: Down 6451">
          <a:extLst>
            <a:ext uri="{FF2B5EF4-FFF2-40B4-BE49-F238E27FC236}">
              <a16:creationId xmlns:a16="http://schemas.microsoft.com/office/drawing/2014/main" id="{2DD6A03A-4CF9-4F95-B27B-0E0261DF68ED}"/>
            </a:ext>
          </a:extLst>
        </xdr:cNvPr>
        <xdr:cNvSpPr/>
      </xdr:nvSpPr>
      <xdr:spPr>
        <a:xfrm>
          <a:off x="11753850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868</xdr:row>
      <xdr:rowOff>0</xdr:rowOff>
    </xdr:from>
    <xdr:to>
      <xdr:col>64</xdr:col>
      <xdr:colOff>83820</xdr:colOff>
      <xdr:row>868</xdr:row>
      <xdr:rowOff>114300</xdr:rowOff>
    </xdr:to>
    <xdr:sp macro="" textlink="">
      <xdr:nvSpPr>
        <xdr:cNvPr id="6476" name="Arrow: Down 6475">
          <a:extLst>
            <a:ext uri="{FF2B5EF4-FFF2-40B4-BE49-F238E27FC236}">
              <a16:creationId xmlns:a16="http://schemas.microsoft.com/office/drawing/2014/main" id="{58A1F9AD-3D93-4D5C-87F2-42139D896A36}"/>
            </a:ext>
          </a:extLst>
        </xdr:cNvPr>
        <xdr:cNvSpPr/>
      </xdr:nvSpPr>
      <xdr:spPr>
        <a:xfrm rot="10800000">
          <a:off x="19754850" y="1611582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868</xdr:row>
      <xdr:rowOff>0</xdr:rowOff>
    </xdr:from>
    <xdr:to>
      <xdr:col>45</xdr:col>
      <xdr:colOff>83820</xdr:colOff>
      <xdr:row>868</xdr:row>
      <xdr:rowOff>114300</xdr:rowOff>
    </xdr:to>
    <xdr:sp macro="" textlink="">
      <xdr:nvSpPr>
        <xdr:cNvPr id="6549" name="Arrow: Down 6548">
          <a:extLst>
            <a:ext uri="{FF2B5EF4-FFF2-40B4-BE49-F238E27FC236}">
              <a16:creationId xmlns:a16="http://schemas.microsoft.com/office/drawing/2014/main" id="{C724DDF7-F5A2-4FD0-A6E3-2EBCF6A21CF2}"/>
            </a:ext>
          </a:extLst>
        </xdr:cNvPr>
        <xdr:cNvSpPr/>
      </xdr:nvSpPr>
      <xdr:spPr>
        <a:xfrm rot="10800000">
          <a:off x="13644563" y="1611582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868</xdr:row>
      <xdr:rowOff>0</xdr:rowOff>
    </xdr:from>
    <xdr:to>
      <xdr:col>71</xdr:col>
      <xdr:colOff>83820</xdr:colOff>
      <xdr:row>868</xdr:row>
      <xdr:rowOff>114300</xdr:rowOff>
    </xdr:to>
    <xdr:sp macro="" textlink="">
      <xdr:nvSpPr>
        <xdr:cNvPr id="6554" name="Arrow: Down 6553">
          <a:extLst>
            <a:ext uri="{FF2B5EF4-FFF2-40B4-BE49-F238E27FC236}">
              <a16:creationId xmlns:a16="http://schemas.microsoft.com/office/drawing/2014/main" id="{2DAADDBE-80BB-4CA7-8352-FE556098274C}"/>
            </a:ext>
          </a:extLst>
        </xdr:cNvPr>
        <xdr:cNvSpPr/>
      </xdr:nvSpPr>
      <xdr:spPr>
        <a:xfrm rot="10800000">
          <a:off x="22412325" y="1611582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868</xdr:row>
      <xdr:rowOff>0</xdr:rowOff>
    </xdr:from>
    <xdr:to>
      <xdr:col>60</xdr:col>
      <xdr:colOff>82233</xdr:colOff>
      <xdr:row>868</xdr:row>
      <xdr:rowOff>114300</xdr:rowOff>
    </xdr:to>
    <xdr:sp macro="" textlink="">
      <xdr:nvSpPr>
        <xdr:cNvPr id="6581" name="Arrow: Down 6580">
          <a:extLst>
            <a:ext uri="{FF2B5EF4-FFF2-40B4-BE49-F238E27FC236}">
              <a16:creationId xmlns:a16="http://schemas.microsoft.com/office/drawing/2014/main" id="{8F2B68C0-5830-4983-AF4E-DA5F17788F11}"/>
            </a:ext>
          </a:extLst>
        </xdr:cNvPr>
        <xdr:cNvSpPr/>
      </xdr:nvSpPr>
      <xdr:spPr>
        <a:xfrm>
          <a:off x="19483388" y="1611582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869</xdr:row>
      <xdr:rowOff>0</xdr:rowOff>
    </xdr:from>
    <xdr:to>
      <xdr:col>64</xdr:col>
      <xdr:colOff>83820</xdr:colOff>
      <xdr:row>869</xdr:row>
      <xdr:rowOff>114300</xdr:rowOff>
    </xdr:to>
    <xdr:sp macro="" textlink="">
      <xdr:nvSpPr>
        <xdr:cNvPr id="6590" name="Arrow: Down 6589">
          <a:extLst>
            <a:ext uri="{FF2B5EF4-FFF2-40B4-BE49-F238E27FC236}">
              <a16:creationId xmlns:a16="http://schemas.microsoft.com/office/drawing/2014/main" id="{53F9087F-81B3-40FC-96BD-B81ADCA52769}"/>
            </a:ext>
          </a:extLst>
        </xdr:cNvPr>
        <xdr:cNvSpPr/>
      </xdr:nvSpPr>
      <xdr:spPr>
        <a:xfrm rot="10800000">
          <a:off x="19754850" y="16134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869</xdr:row>
      <xdr:rowOff>0</xdr:rowOff>
    </xdr:from>
    <xdr:to>
      <xdr:col>24</xdr:col>
      <xdr:colOff>83820</xdr:colOff>
      <xdr:row>869</xdr:row>
      <xdr:rowOff>114300</xdr:rowOff>
    </xdr:to>
    <xdr:sp macro="" textlink="">
      <xdr:nvSpPr>
        <xdr:cNvPr id="6600" name="Arrow: Down 6599">
          <a:extLst>
            <a:ext uri="{FF2B5EF4-FFF2-40B4-BE49-F238E27FC236}">
              <a16:creationId xmlns:a16="http://schemas.microsoft.com/office/drawing/2014/main" id="{A6684E2D-928A-4408-ACB3-065E9780F941}"/>
            </a:ext>
          </a:extLst>
        </xdr:cNvPr>
        <xdr:cNvSpPr/>
      </xdr:nvSpPr>
      <xdr:spPr>
        <a:xfrm>
          <a:off x="8486775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83820</xdr:colOff>
      <xdr:row>869</xdr:row>
      <xdr:rowOff>114300</xdr:rowOff>
    </xdr:to>
    <xdr:sp macro="" textlink="">
      <xdr:nvSpPr>
        <xdr:cNvPr id="6603" name="Arrow: Down 6602">
          <a:extLst>
            <a:ext uri="{FF2B5EF4-FFF2-40B4-BE49-F238E27FC236}">
              <a16:creationId xmlns:a16="http://schemas.microsoft.com/office/drawing/2014/main" id="{9FED4E6D-1802-40B6-897B-109A6816A693}"/>
            </a:ext>
          </a:extLst>
        </xdr:cNvPr>
        <xdr:cNvSpPr/>
      </xdr:nvSpPr>
      <xdr:spPr>
        <a:xfrm>
          <a:off x="1962150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869</xdr:row>
      <xdr:rowOff>0</xdr:rowOff>
    </xdr:from>
    <xdr:to>
      <xdr:col>11</xdr:col>
      <xdr:colOff>83820</xdr:colOff>
      <xdr:row>869</xdr:row>
      <xdr:rowOff>114300</xdr:rowOff>
    </xdr:to>
    <xdr:sp macro="" textlink="">
      <xdr:nvSpPr>
        <xdr:cNvPr id="6607" name="Arrow: Down 6606">
          <a:extLst>
            <a:ext uri="{FF2B5EF4-FFF2-40B4-BE49-F238E27FC236}">
              <a16:creationId xmlns:a16="http://schemas.microsoft.com/office/drawing/2014/main" id="{19FFA342-A9BD-4A7D-B556-624583B2B643}"/>
            </a:ext>
          </a:extLst>
        </xdr:cNvPr>
        <xdr:cNvSpPr/>
      </xdr:nvSpPr>
      <xdr:spPr>
        <a:xfrm>
          <a:off x="3757613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869</xdr:row>
      <xdr:rowOff>0</xdr:rowOff>
    </xdr:from>
    <xdr:to>
      <xdr:col>45</xdr:col>
      <xdr:colOff>83820</xdr:colOff>
      <xdr:row>869</xdr:row>
      <xdr:rowOff>114300</xdr:rowOff>
    </xdr:to>
    <xdr:sp macro="" textlink="">
      <xdr:nvSpPr>
        <xdr:cNvPr id="6608" name="Arrow: Down 6607">
          <a:extLst>
            <a:ext uri="{FF2B5EF4-FFF2-40B4-BE49-F238E27FC236}">
              <a16:creationId xmlns:a16="http://schemas.microsoft.com/office/drawing/2014/main" id="{94611FF8-E98F-4B46-A23B-3480F25473AE}"/>
            </a:ext>
          </a:extLst>
        </xdr:cNvPr>
        <xdr:cNvSpPr/>
      </xdr:nvSpPr>
      <xdr:spPr>
        <a:xfrm rot="10800000">
          <a:off x="13644563" y="1613439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869</xdr:row>
      <xdr:rowOff>0</xdr:rowOff>
    </xdr:from>
    <xdr:to>
      <xdr:col>71</xdr:col>
      <xdr:colOff>83820</xdr:colOff>
      <xdr:row>869</xdr:row>
      <xdr:rowOff>114300</xdr:rowOff>
    </xdr:to>
    <xdr:sp macro="" textlink="">
      <xdr:nvSpPr>
        <xdr:cNvPr id="6610" name="Arrow: Down 6609">
          <a:extLst>
            <a:ext uri="{FF2B5EF4-FFF2-40B4-BE49-F238E27FC236}">
              <a16:creationId xmlns:a16="http://schemas.microsoft.com/office/drawing/2014/main" id="{4C9268C6-8BC7-4BCD-9B48-E56FCECA126C}"/>
            </a:ext>
          </a:extLst>
        </xdr:cNvPr>
        <xdr:cNvSpPr/>
      </xdr:nvSpPr>
      <xdr:spPr>
        <a:xfrm rot="10800000">
          <a:off x="22412325" y="16134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870</xdr:row>
      <xdr:rowOff>0</xdr:rowOff>
    </xdr:from>
    <xdr:to>
      <xdr:col>64</xdr:col>
      <xdr:colOff>83820</xdr:colOff>
      <xdr:row>870</xdr:row>
      <xdr:rowOff>114300</xdr:rowOff>
    </xdr:to>
    <xdr:sp macro="" textlink="">
      <xdr:nvSpPr>
        <xdr:cNvPr id="6618" name="Arrow: Down 6617">
          <a:extLst>
            <a:ext uri="{FF2B5EF4-FFF2-40B4-BE49-F238E27FC236}">
              <a16:creationId xmlns:a16="http://schemas.microsoft.com/office/drawing/2014/main" id="{51BDD873-F8C3-41D8-8171-2B33763B0C9A}"/>
            </a:ext>
          </a:extLst>
        </xdr:cNvPr>
        <xdr:cNvSpPr/>
      </xdr:nvSpPr>
      <xdr:spPr>
        <a:xfrm rot="10800000">
          <a:off x="19754850" y="1615297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870</xdr:row>
      <xdr:rowOff>0</xdr:rowOff>
    </xdr:from>
    <xdr:to>
      <xdr:col>45</xdr:col>
      <xdr:colOff>83820</xdr:colOff>
      <xdr:row>870</xdr:row>
      <xdr:rowOff>114300</xdr:rowOff>
    </xdr:to>
    <xdr:sp macro="" textlink="">
      <xdr:nvSpPr>
        <xdr:cNvPr id="6623" name="Arrow: Down 6622">
          <a:extLst>
            <a:ext uri="{FF2B5EF4-FFF2-40B4-BE49-F238E27FC236}">
              <a16:creationId xmlns:a16="http://schemas.microsoft.com/office/drawing/2014/main" id="{B88EC381-9C59-48C7-B00C-DE55EA7530AF}"/>
            </a:ext>
          </a:extLst>
        </xdr:cNvPr>
        <xdr:cNvSpPr/>
      </xdr:nvSpPr>
      <xdr:spPr>
        <a:xfrm rot="10800000">
          <a:off x="13644563" y="1615297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870</xdr:row>
      <xdr:rowOff>0</xdr:rowOff>
    </xdr:from>
    <xdr:to>
      <xdr:col>71</xdr:col>
      <xdr:colOff>83820</xdr:colOff>
      <xdr:row>870</xdr:row>
      <xdr:rowOff>114300</xdr:rowOff>
    </xdr:to>
    <xdr:sp macro="" textlink="">
      <xdr:nvSpPr>
        <xdr:cNvPr id="6624" name="Arrow: Down 6623">
          <a:extLst>
            <a:ext uri="{FF2B5EF4-FFF2-40B4-BE49-F238E27FC236}">
              <a16:creationId xmlns:a16="http://schemas.microsoft.com/office/drawing/2014/main" id="{9631D82B-2D45-44E4-A6B0-312CC0747CE6}"/>
            </a:ext>
          </a:extLst>
        </xdr:cNvPr>
        <xdr:cNvSpPr/>
      </xdr:nvSpPr>
      <xdr:spPr>
        <a:xfrm rot="10800000">
          <a:off x="22412325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870</xdr:row>
      <xdr:rowOff>0</xdr:rowOff>
    </xdr:from>
    <xdr:to>
      <xdr:col>39</xdr:col>
      <xdr:colOff>83820</xdr:colOff>
      <xdr:row>870</xdr:row>
      <xdr:rowOff>114300</xdr:rowOff>
    </xdr:to>
    <xdr:sp macro="" textlink="">
      <xdr:nvSpPr>
        <xdr:cNvPr id="6625" name="Arrow: Down 6624">
          <a:extLst>
            <a:ext uri="{FF2B5EF4-FFF2-40B4-BE49-F238E27FC236}">
              <a16:creationId xmlns:a16="http://schemas.microsoft.com/office/drawing/2014/main" id="{1C77C4D8-4227-43A1-88C0-C9792B46B5E3}"/>
            </a:ext>
          </a:extLst>
        </xdr:cNvPr>
        <xdr:cNvSpPr/>
      </xdr:nvSpPr>
      <xdr:spPr>
        <a:xfrm>
          <a:off x="11753850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870</xdr:row>
      <xdr:rowOff>0</xdr:rowOff>
    </xdr:from>
    <xdr:to>
      <xdr:col>60</xdr:col>
      <xdr:colOff>82233</xdr:colOff>
      <xdr:row>870</xdr:row>
      <xdr:rowOff>114300</xdr:rowOff>
    </xdr:to>
    <xdr:sp macro="" textlink="">
      <xdr:nvSpPr>
        <xdr:cNvPr id="6626" name="Arrow: Down 6625">
          <a:extLst>
            <a:ext uri="{FF2B5EF4-FFF2-40B4-BE49-F238E27FC236}">
              <a16:creationId xmlns:a16="http://schemas.microsoft.com/office/drawing/2014/main" id="{77721DFF-7190-431E-A0BF-98016D621A98}"/>
            </a:ext>
          </a:extLst>
        </xdr:cNvPr>
        <xdr:cNvSpPr/>
      </xdr:nvSpPr>
      <xdr:spPr>
        <a:xfrm>
          <a:off x="19483388" y="1615297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871</xdr:row>
      <xdr:rowOff>0</xdr:rowOff>
    </xdr:from>
    <xdr:to>
      <xdr:col>64</xdr:col>
      <xdr:colOff>83820</xdr:colOff>
      <xdr:row>871</xdr:row>
      <xdr:rowOff>114300</xdr:rowOff>
    </xdr:to>
    <xdr:sp macro="" textlink="">
      <xdr:nvSpPr>
        <xdr:cNvPr id="6627" name="Arrow: Down 6626">
          <a:extLst>
            <a:ext uri="{FF2B5EF4-FFF2-40B4-BE49-F238E27FC236}">
              <a16:creationId xmlns:a16="http://schemas.microsoft.com/office/drawing/2014/main" id="{C5B56DB1-4565-4200-B295-567D8CBED15A}"/>
            </a:ext>
          </a:extLst>
        </xdr:cNvPr>
        <xdr:cNvSpPr/>
      </xdr:nvSpPr>
      <xdr:spPr>
        <a:xfrm rot="10800000">
          <a:off x="197548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871</xdr:row>
      <xdr:rowOff>0</xdr:rowOff>
    </xdr:from>
    <xdr:to>
      <xdr:col>24</xdr:col>
      <xdr:colOff>83820</xdr:colOff>
      <xdr:row>871</xdr:row>
      <xdr:rowOff>114300</xdr:rowOff>
    </xdr:to>
    <xdr:sp macro="" textlink="">
      <xdr:nvSpPr>
        <xdr:cNvPr id="6629" name="Arrow: Down 6628">
          <a:extLst>
            <a:ext uri="{FF2B5EF4-FFF2-40B4-BE49-F238E27FC236}">
              <a16:creationId xmlns:a16="http://schemas.microsoft.com/office/drawing/2014/main" id="{F9797CAB-9B4B-457D-87B8-5D0D8DF8B563}"/>
            </a:ext>
          </a:extLst>
        </xdr:cNvPr>
        <xdr:cNvSpPr/>
      </xdr:nvSpPr>
      <xdr:spPr>
        <a:xfrm>
          <a:off x="8486775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871</xdr:row>
      <xdr:rowOff>0</xdr:rowOff>
    </xdr:from>
    <xdr:to>
      <xdr:col>5</xdr:col>
      <xdr:colOff>83820</xdr:colOff>
      <xdr:row>871</xdr:row>
      <xdr:rowOff>114300</xdr:rowOff>
    </xdr:to>
    <xdr:sp macro="" textlink="">
      <xdr:nvSpPr>
        <xdr:cNvPr id="6630" name="Arrow: Down 6629">
          <a:extLst>
            <a:ext uri="{FF2B5EF4-FFF2-40B4-BE49-F238E27FC236}">
              <a16:creationId xmlns:a16="http://schemas.microsoft.com/office/drawing/2014/main" id="{9BA1A9C8-6BE5-4E5D-AED0-BD2BAC44A144}"/>
            </a:ext>
          </a:extLst>
        </xdr:cNvPr>
        <xdr:cNvSpPr/>
      </xdr:nvSpPr>
      <xdr:spPr>
        <a:xfrm>
          <a:off x="1962150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871</xdr:row>
      <xdr:rowOff>0</xdr:rowOff>
    </xdr:from>
    <xdr:to>
      <xdr:col>11</xdr:col>
      <xdr:colOff>83820</xdr:colOff>
      <xdr:row>871</xdr:row>
      <xdr:rowOff>114300</xdr:rowOff>
    </xdr:to>
    <xdr:sp macro="" textlink="">
      <xdr:nvSpPr>
        <xdr:cNvPr id="6631" name="Arrow: Down 6630">
          <a:extLst>
            <a:ext uri="{FF2B5EF4-FFF2-40B4-BE49-F238E27FC236}">
              <a16:creationId xmlns:a16="http://schemas.microsoft.com/office/drawing/2014/main" id="{EF448758-B869-4CA1-BAA8-C13F1FB293CE}"/>
            </a:ext>
          </a:extLst>
        </xdr:cNvPr>
        <xdr:cNvSpPr/>
      </xdr:nvSpPr>
      <xdr:spPr>
        <a:xfrm>
          <a:off x="3757613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871</xdr:row>
      <xdr:rowOff>0</xdr:rowOff>
    </xdr:from>
    <xdr:to>
      <xdr:col>45</xdr:col>
      <xdr:colOff>83820</xdr:colOff>
      <xdr:row>871</xdr:row>
      <xdr:rowOff>114300</xdr:rowOff>
    </xdr:to>
    <xdr:sp macro="" textlink="">
      <xdr:nvSpPr>
        <xdr:cNvPr id="6633" name="Arrow: Down 6632">
          <a:extLst>
            <a:ext uri="{FF2B5EF4-FFF2-40B4-BE49-F238E27FC236}">
              <a16:creationId xmlns:a16="http://schemas.microsoft.com/office/drawing/2014/main" id="{343A494C-E196-4099-A143-0F7C0BC5C29A}"/>
            </a:ext>
          </a:extLst>
        </xdr:cNvPr>
        <xdr:cNvSpPr/>
      </xdr:nvSpPr>
      <xdr:spPr>
        <a:xfrm rot="10800000">
          <a:off x="13644563" y="1617154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871</xdr:row>
      <xdr:rowOff>0</xdr:rowOff>
    </xdr:from>
    <xdr:to>
      <xdr:col>71</xdr:col>
      <xdr:colOff>83820</xdr:colOff>
      <xdr:row>871</xdr:row>
      <xdr:rowOff>114300</xdr:rowOff>
    </xdr:to>
    <xdr:sp macro="" textlink="">
      <xdr:nvSpPr>
        <xdr:cNvPr id="6635" name="Arrow: Down 6634">
          <a:extLst>
            <a:ext uri="{FF2B5EF4-FFF2-40B4-BE49-F238E27FC236}">
              <a16:creationId xmlns:a16="http://schemas.microsoft.com/office/drawing/2014/main" id="{B97ACCCE-8B03-4BB7-B6D3-E3E470EE568F}"/>
            </a:ext>
          </a:extLst>
        </xdr:cNvPr>
        <xdr:cNvSpPr/>
      </xdr:nvSpPr>
      <xdr:spPr>
        <a:xfrm rot="10800000">
          <a:off x="22412325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871</xdr:row>
      <xdr:rowOff>0</xdr:rowOff>
    </xdr:from>
    <xdr:to>
      <xdr:col>39</xdr:col>
      <xdr:colOff>83820</xdr:colOff>
      <xdr:row>871</xdr:row>
      <xdr:rowOff>114300</xdr:rowOff>
    </xdr:to>
    <xdr:sp macro="" textlink="">
      <xdr:nvSpPr>
        <xdr:cNvPr id="6651" name="Arrow: Down 6650">
          <a:extLst>
            <a:ext uri="{FF2B5EF4-FFF2-40B4-BE49-F238E27FC236}">
              <a16:creationId xmlns:a16="http://schemas.microsoft.com/office/drawing/2014/main" id="{65BEC7E6-4287-4257-B3CB-890484D1AA35}"/>
            </a:ext>
          </a:extLst>
        </xdr:cNvPr>
        <xdr:cNvSpPr/>
      </xdr:nvSpPr>
      <xdr:spPr>
        <a:xfrm>
          <a:off x="11753850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872</xdr:row>
      <xdr:rowOff>0</xdr:rowOff>
    </xdr:from>
    <xdr:to>
      <xdr:col>64</xdr:col>
      <xdr:colOff>83820</xdr:colOff>
      <xdr:row>872</xdr:row>
      <xdr:rowOff>114300</xdr:rowOff>
    </xdr:to>
    <xdr:sp macro="" textlink="">
      <xdr:nvSpPr>
        <xdr:cNvPr id="6658" name="Arrow: Down 6657">
          <a:extLst>
            <a:ext uri="{FF2B5EF4-FFF2-40B4-BE49-F238E27FC236}">
              <a16:creationId xmlns:a16="http://schemas.microsoft.com/office/drawing/2014/main" id="{E6F6DC0D-F7EB-4E94-9945-B29E9BC1C54B}"/>
            </a:ext>
          </a:extLst>
        </xdr:cNvPr>
        <xdr:cNvSpPr/>
      </xdr:nvSpPr>
      <xdr:spPr>
        <a:xfrm rot="10800000">
          <a:off x="19754850" y="1619011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872</xdr:row>
      <xdr:rowOff>0</xdr:rowOff>
    </xdr:from>
    <xdr:to>
      <xdr:col>24</xdr:col>
      <xdr:colOff>83820</xdr:colOff>
      <xdr:row>872</xdr:row>
      <xdr:rowOff>114300</xdr:rowOff>
    </xdr:to>
    <xdr:sp macro="" textlink="">
      <xdr:nvSpPr>
        <xdr:cNvPr id="6660" name="Arrow: Down 6659">
          <a:extLst>
            <a:ext uri="{FF2B5EF4-FFF2-40B4-BE49-F238E27FC236}">
              <a16:creationId xmlns:a16="http://schemas.microsoft.com/office/drawing/2014/main" id="{F47A5A8C-E3FE-4DBA-B0D8-0F03FDA06755}"/>
            </a:ext>
          </a:extLst>
        </xdr:cNvPr>
        <xdr:cNvSpPr/>
      </xdr:nvSpPr>
      <xdr:spPr>
        <a:xfrm>
          <a:off x="8486775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872</xdr:row>
      <xdr:rowOff>0</xdr:rowOff>
    </xdr:from>
    <xdr:to>
      <xdr:col>5</xdr:col>
      <xdr:colOff>83820</xdr:colOff>
      <xdr:row>872</xdr:row>
      <xdr:rowOff>114300</xdr:rowOff>
    </xdr:to>
    <xdr:sp macro="" textlink="">
      <xdr:nvSpPr>
        <xdr:cNvPr id="6662" name="Arrow: Down 6661">
          <a:extLst>
            <a:ext uri="{FF2B5EF4-FFF2-40B4-BE49-F238E27FC236}">
              <a16:creationId xmlns:a16="http://schemas.microsoft.com/office/drawing/2014/main" id="{EDDAAED7-14F3-41A1-980F-B83513EEC421}"/>
            </a:ext>
          </a:extLst>
        </xdr:cNvPr>
        <xdr:cNvSpPr/>
      </xdr:nvSpPr>
      <xdr:spPr>
        <a:xfrm>
          <a:off x="1962150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872</xdr:row>
      <xdr:rowOff>0</xdr:rowOff>
    </xdr:from>
    <xdr:to>
      <xdr:col>11</xdr:col>
      <xdr:colOff>83820</xdr:colOff>
      <xdr:row>872</xdr:row>
      <xdr:rowOff>114300</xdr:rowOff>
    </xdr:to>
    <xdr:sp macro="" textlink="">
      <xdr:nvSpPr>
        <xdr:cNvPr id="6664" name="Arrow: Down 6663">
          <a:extLst>
            <a:ext uri="{FF2B5EF4-FFF2-40B4-BE49-F238E27FC236}">
              <a16:creationId xmlns:a16="http://schemas.microsoft.com/office/drawing/2014/main" id="{AFAE2AB7-231F-4DEE-9B20-67B4A0FAD5E9}"/>
            </a:ext>
          </a:extLst>
        </xdr:cNvPr>
        <xdr:cNvSpPr/>
      </xdr:nvSpPr>
      <xdr:spPr>
        <a:xfrm>
          <a:off x="3757613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872</xdr:row>
      <xdr:rowOff>0</xdr:rowOff>
    </xdr:from>
    <xdr:to>
      <xdr:col>45</xdr:col>
      <xdr:colOff>83820</xdr:colOff>
      <xdr:row>872</xdr:row>
      <xdr:rowOff>114300</xdr:rowOff>
    </xdr:to>
    <xdr:sp macro="" textlink="">
      <xdr:nvSpPr>
        <xdr:cNvPr id="6666" name="Arrow: Down 6665">
          <a:extLst>
            <a:ext uri="{FF2B5EF4-FFF2-40B4-BE49-F238E27FC236}">
              <a16:creationId xmlns:a16="http://schemas.microsoft.com/office/drawing/2014/main" id="{8CDCAE6E-E1D5-42C8-AEC6-718A712715E3}"/>
            </a:ext>
          </a:extLst>
        </xdr:cNvPr>
        <xdr:cNvSpPr/>
      </xdr:nvSpPr>
      <xdr:spPr>
        <a:xfrm rot="10800000">
          <a:off x="13644563" y="1619011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872</xdr:row>
      <xdr:rowOff>0</xdr:rowOff>
    </xdr:from>
    <xdr:to>
      <xdr:col>71</xdr:col>
      <xdr:colOff>83820</xdr:colOff>
      <xdr:row>872</xdr:row>
      <xdr:rowOff>114300</xdr:rowOff>
    </xdr:to>
    <xdr:sp macro="" textlink="">
      <xdr:nvSpPr>
        <xdr:cNvPr id="6671" name="Arrow: Down 6670">
          <a:extLst>
            <a:ext uri="{FF2B5EF4-FFF2-40B4-BE49-F238E27FC236}">
              <a16:creationId xmlns:a16="http://schemas.microsoft.com/office/drawing/2014/main" id="{613C0B7B-92F9-499A-A74D-BB62DD4121D8}"/>
            </a:ext>
          </a:extLst>
        </xdr:cNvPr>
        <xdr:cNvSpPr/>
      </xdr:nvSpPr>
      <xdr:spPr>
        <a:xfrm rot="10800000">
          <a:off x="22412325" y="1619011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872</xdr:row>
      <xdr:rowOff>0</xdr:rowOff>
    </xdr:from>
    <xdr:to>
      <xdr:col>60</xdr:col>
      <xdr:colOff>82233</xdr:colOff>
      <xdr:row>872</xdr:row>
      <xdr:rowOff>114300</xdr:rowOff>
    </xdr:to>
    <xdr:sp macro="" textlink="">
      <xdr:nvSpPr>
        <xdr:cNvPr id="6676" name="Arrow: Down 6675">
          <a:extLst>
            <a:ext uri="{FF2B5EF4-FFF2-40B4-BE49-F238E27FC236}">
              <a16:creationId xmlns:a16="http://schemas.microsoft.com/office/drawing/2014/main" id="{17C1E758-6CB8-4177-A876-05635B656E89}"/>
            </a:ext>
          </a:extLst>
        </xdr:cNvPr>
        <xdr:cNvSpPr/>
      </xdr:nvSpPr>
      <xdr:spPr>
        <a:xfrm>
          <a:off x="19483388" y="16190118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871</xdr:row>
      <xdr:rowOff>0</xdr:rowOff>
    </xdr:from>
    <xdr:to>
      <xdr:col>60</xdr:col>
      <xdr:colOff>80646</xdr:colOff>
      <xdr:row>871</xdr:row>
      <xdr:rowOff>114300</xdr:rowOff>
    </xdr:to>
    <xdr:sp macro="" textlink="">
      <xdr:nvSpPr>
        <xdr:cNvPr id="6680" name="Arrow: Down 6679">
          <a:extLst>
            <a:ext uri="{FF2B5EF4-FFF2-40B4-BE49-F238E27FC236}">
              <a16:creationId xmlns:a16="http://schemas.microsoft.com/office/drawing/2014/main" id="{E419A006-6CC9-4D47-989C-9B71D90C921E}"/>
            </a:ext>
          </a:extLst>
        </xdr:cNvPr>
        <xdr:cNvSpPr/>
      </xdr:nvSpPr>
      <xdr:spPr>
        <a:xfrm rot="10800000">
          <a:off x="19483388" y="1619011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869</xdr:row>
      <xdr:rowOff>0</xdr:rowOff>
    </xdr:from>
    <xdr:to>
      <xdr:col>60</xdr:col>
      <xdr:colOff>80646</xdr:colOff>
      <xdr:row>869</xdr:row>
      <xdr:rowOff>114300</xdr:rowOff>
    </xdr:to>
    <xdr:sp macro="" textlink="">
      <xdr:nvSpPr>
        <xdr:cNvPr id="6685" name="Arrow: Down 6684">
          <a:extLst>
            <a:ext uri="{FF2B5EF4-FFF2-40B4-BE49-F238E27FC236}">
              <a16:creationId xmlns:a16="http://schemas.microsoft.com/office/drawing/2014/main" id="{F4E011EF-EB44-48EF-A6A1-4F6643ACCBC9}"/>
            </a:ext>
          </a:extLst>
        </xdr:cNvPr>
        <xdr:cNvSpPr/>
      </xdr:nvSpPr>
      <xdr:spPr>
        <a:xfrm rot="10800000">
          <a:off x="19483388" y="1615297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867</xdr:row>
      <xdr:rowOff>0</xdr:rowOff>
    </xdr:from>
    <xdr:to>
      <xdr:col>60</xdr:col>
      <xdr:colOff>80646</xdr:colOff>
      <xdr:row>867</xdr:row>
      <xdr:rowOff>114300</xdr:rowOff>
    </xdr:to>
    <xdr:sp macro="" textlink="">
      <xdr:nvSpPr>
        <xdr:cNvPr id="6697" name="Arrow: Down 6696">
          <a:extLst>
            <a:ext uri="{FF2B5EF4-FFF2-40B4-BE49-F238E27FC236}">
              <a16:creationId xmlns:a16="http://schemas.microsoft.com/office/drawing/2014/main" id="{EE516526-D624-4378-9AF8-5B5205D9462B}"/>
            </a:ext>
          </a:extLst>
        </xdr:cNvPr>
        <xdr:cNvSpPr/>
      </xdr:nvSpPr>
      <xdr:spPr>
        <a:xfrm rot="10800000">
          <a:off x="19483388" y="1611582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872</xdr:row>
      <xdr:rowOff>0</xdr:rowOff>
    </xdr:from>
    <xdr:to>
      <xdr:col>39</xdr:col>
      <xdr:colOff>80646</xdr:colOff>
      <xdr:row>872</xdr:row>
      <xdr:rowOff>114300</xdr:rowOff>
    </xdr:to>
    <xdr:sp macro="" textlink="">
      <xdr:nvSpPr>
        <xdr:cNvPr id="6698" name="Arrow: Down 6697">
          <a:extLst>
            <a:ext uri="{FF2B5EF4-FFF2-40B4-BE49-F238E27FC236}">
              <a16:creationId xmlns:a16="http://schemas.microsoft.com/office/drawing/2014/main" id="{D8131B90-354A-404C-AFE1-B650C6695126}"/>
            </a:ext>
          </a:extLst>
        </xdr:cNvPr>
        <xdr:cNvSpPr/>
      </xdr:nvSpPr>
      <xdr:spPr>
        <a:xfrm rot="10800000">
          <a:off x="11753850" y="1620869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869</xdr:row>
      <xdr:rowOff>0</xdr:rowOff>
    </xdr:from>
    <xdr:to>
      <xdr:col>39</xdr:col>
      <xdr:colOff>80646</xdr:colOff>
      <xdr:row>869</xdr:row>
      <xdr:rowOff>114300</xdr:rowOff>
    </xdr:to>
    <xdr:sp macro="" textlink="">
      <xdr:nvSpPr>
        <xdr:cNvPr id="6699" name="Arrow: Down 6698">
          <a:extLst>
            <a:ext uri="{FF2B5EF4-FFF2-40B4-BE49-F238E27FC236}">
              <a16:creationId xmlns:a16="http://schemas.microsoft.com/office/drawing/2014/main" id="{04FCB690-3615-4D19-A1E6-4C338BFF61E4}"/>
            </a:ext>
          </a:extLst>
        </xdr:cNvPr>
        <xdr:cNvSpPr/>
      </xdr:nvSpPr>
      <xdr:spPr>
        <a:xfrm rot="10800000">
          <a:off x="11753850" y="161529713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868</xdr:row>
      <xdr:rowOff>0</xdr:rowOff>
    </xdr:from>
    <xdr:to>
      <xdr:col>39</xdr:col>
      <xdr:colOff>80646</xdr:colOff>
      <xdr:row>868</xdr:row>
      <xdr:rowOff>114300</xdr:rowOff>
    </xdr:to>
    <xdr:sp macro="" textlink="">
      <xdr:nvSpPr>
        <xdr:cNvPr id="6701" name="Arrow: Down 6700">
          <a:extLst>
            <a:ext uri="{FF2B5EF4-FFF2-40B4-BE49-F238E27FC236}">
              <a16:creationId xmlns:a16="http://schemas.microsoft.com/office/drawing/2014/main" id="{BCEB5A36-90AD-4F23-AA32-21303CF82645}"/>
            </a:ext>
          </a:extLst>
        </xdr:cNvPr>
        <xdr:cNvSpPr/>
      </xdr:nvSpPr>
      <xdr:spPr>
        <a:xfrm rot="10800000">
          <a:off x="11753850" y="16134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866</xdr:row>
      <xdr:rowOff>0</xdr:rowOff>
    </xdr:from>
    <xdr:to>
      <xdr:col>39</xdr:col>
      <xdr:colOff>80646</xdr:colOff>
      <xdr:row>866</xdr:row>
      <xdr:rowOff>114300</xdr:rowOff>
    </xdr:to>
    <xdr:sp macro="" textlink="">
      <xdr:nvSpPr>
        <xdr:cNvPr id="6702" name="Arrow: Down 6701">
          <a:extLst>
            <a:ext uri="{FF2B5EF4-FFF2-40B4-BE49-F238E27FC236}">
              <a16:creationId xmlns:a16="http://schemas.microsoft.com/office/drawing/2014/main" id="{574486A9-7195-4F2B-BC16-8531C017D423}"/>
            </a:ext>
          </a:extLst>
        </xdr:cNvPr>
        <xdr:cNvSpPr/>
      </xdr:nvSpPr>
      <xdr:spPr>
        <a:xfrm rot="10800000">
          <a:off x="11753850" y="1609725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870</xdr:row>
      <xdr:rowOff>0</xdr:rowOff>
    </xdr:from>
    <xdr:to>
      <xdr:col>24</xdr:col>
      <xdr:colOff>82234</xdr:colOff>
      <xdr:row>870</xdr:row>
      <xdr:rowOff>114300</xdr:rowOff>
    </xdr:to>
    <xdr:sp macro="" textlink="">
      <xdr:nvSpPr>
        <xdr:cNvPr id="6703" name="Arrow: Down 6702">
          <a:extLst>
            <a:ext uri="{FF2B5EF4-FFF2-40B4-BE49-F238E27FC236}">
              <a16:creationId xmlns:a16="http://schemas.microsoft.com/office/drawing/2014/main" id="{CDAA90FD-5E1D-409F-86D8-34900B54BA23}"/>
            </a:ext>
          </a:extLst>
        </xdr:cNvPr>
        <xdr:cNvSpPr/>
      </xdr:nvSpPr>
      <xdr:spPr>
        <a:xfrm rot="10800000">
          <a:off x="8486775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868</xdr:row>
      <xdr:rowOff>0</xdr:rowOff>
    </xdr:from>
    <xdr:to>
      <xdr:col>24</xdr:col>
      <xdr:colOff>82234</xdr:colOff>
      <xdr:row>868</xdr:row>
      <xdr:rowOff>114300</xdr:rowOff>
    </xdr:to>
    <xdr:sp macro="" textlink="">
      <xdr:nvSpPr>
        <xdr:cNvPr id="6704" name="Arrow: Down 6703">
          <a:extLst>
            <a:ext uri="{FF2B5EF4-FFF2-40B4-BE49-F238E27FC236}">
              <a16:creationId xmlns:a16="http://schemas.microsoft.com/office/drawing/2014/main" id="{2C236042-518A-4D22-BD57-BC0C81220740}"/>
            </a:ext>
          </a:extLst>
        </xdr:cNvPr>
        <xdr:cNvSpPr/>
      </xdr:nvSpPr>
      <xdr:spPr>
        <a:xfrm rot="10800000">
          <a:off x="8486775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867</xdr:row>
      <xdr:rowOff>0</xdr:rowOff>
    </xdr:from>
    <xdr:to>
      <xdr:col>24</xdr:col>
      <xdr:colOff>82234</xdr:colOff>
      <xdr:row>867</xdr:row>
      <xdr:rowOff>114300</xdr:rowOff>
    </xdr:to>
    <xdr:sp macro="" textlink="">
      <xdr:nvSpPr>
        <xdr:cNvPr id="6705" name="Arrow: Down 6704">
          <a:extLst>
            <a:ext uri="{FF2B5EF4-FFF2-40B4-BE49-F238E27FC236}">
              <a16:creationId xmlns:a16="http://schemas.microsoft.com/office/drawing/2014/main" id="{D17F238E-59CB-4DE0-AE7E-C98EBA20C210}"/>
            </a:ext>
          </a:extLst>
        </xdr:cNvPr>
        <xdr:cNvSpPr/>
      </xdr:nvSpPr>
      <xdr:spPr>
        <a:xfrm rot="10800000">
          <a:off x="8486775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866</xdr:row>
      <xdr:rowOff>0</xdr:rowOff>
    </xdr:from>
    <xdr:to>
      <xdr:col>24</xdr:col>
      <xdr:colOff>82234</xdr:colOff>
      <xdr:row>866</xdr:row>
      <xdr:rowOff>114300</xdr:rowOff>
    </xdr:to>
    <xdr:sp macro="" textlink="">
      <xdr:nvSpPr>
        <xdr:cNvPr id="6706" name="Arrow: Down 6705">
          <a:extLst>
            <a:ext uri="{FF2B5EF4-FFF2-40B4-BE49-F238E27FC236}">
              <a16:creationId xmlns:a16="http://schemas.microsoft.com/office/drawing/2014/main" id="{35C24740-BE3E-4618-AC71-9BB4DE62396B}"/>
            </a:ext>
          </a:extLst>
        </xdr:cNvPr>
        <xdr:cNvSpPr/>
      </xdr:nvSpPr>
      <xdr:spPr>
        <a:xfrm rot="10800000">
          <a:off x="8486775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870</xdr:row>
      <xdr:rowOff>0</xdr:rowOff>
    </xdr:from>
    <xdr:to>
      <xdr:col>5</xdr:col>
      <xdr:colOff>82234</xdr:colOff>
      <xdr:row>870</xdr:row>
      <xdr:rowOff>114300</xdr:rowOff>
    </xdr:to>
    <xdr:sp macro="" textlink="">
      <xdr:nvSpPr>
        <xdr:cNvPr id="6708" name="Arrow: Down 6707">
          <a:extLst>
            <a:ext uri="{FF2B5EF4-FFF2-40B4-BE49-F238E27FC236}">
              <a16:creationId xmlns:a16="http://schemas.microsoft.com/office/drawing/2014/main" id="{503F9C19-D1BE-45EF-84E8-599D74C2268C}"/>
            </a:ext>
          </a:extLst>
        </xdr:cNvPr>
        <xdr:cNvSpPr/>
      </xdr:nvSpPr>
      <xdr:spPr>
        <a:xfrm rot="10800000">
          <a:off x="1962150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868</xdr:row>
      <xdr:rowOff>0</xdr:rowOff>
    </xdr:from>
    <xdr:to>
      <xdr:col>5</xdr:col>
      <xdr:colOff>82234</xdr:colOff>
      <xdr:row>868</xdr:row>
      <xdr:rowOff>114300</xdr:rowOff>
    </xdr:to>
    <xdr:sp macro="" textlink="">
      <xdr:nvSpPr>
        <xdr:cNvPr id="6709" name="Arrow: Down 6708">
          <a:extLst>
            <a:ext uri="{FF2B5EF4-FFF2-40B4-BE49-F238E27FC236}">
              <a16:creationId xmlns:a16="http://schemas.microsoft.com/office/drawing/2014/main" id="{FF312234-6537-4E6B-B50F-BD743845D539}"/>
            </a:ext>
          </a:extLst>
        </xdr:cNvPr>
        <xdr:cNvSpPr/>
      </xdr:nvSpPr>
      <xdr:spPr>
        <a:xfrm rot="10800000">
          <a:off x="1962150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82234</xdr:colOff>
      <xdr:row>867</xdr:row>
      <xdr:rowOff>114300</xdr:rowOff>
    </xdr:to>
    <xdr:sp macro="" textlink="">
      <xdr:nvSpPr>
        <xdr:cNvPr id="6711" name="Arrow: Down 6710">
          <a:extLst>
            <a:ext uri="{FF2B5EF4-FFF2-40B4-BE49-F238E27FC236}">
              <a16:creationId xmlns:a16="http://schemas.microsoft.com/office/drawing/2014/main" id="{59FFB5A6-4A01-4BC8-8916-EB4EF57A2984}"/>
            </a:ext>
          </a:extLst>
        </xdr:cNvPr>
        <xdr:cNvSpPr/>
      </xdr:nvSpPr>
      <xdr:spPr>
        <a:xfrm rot="10800000">
          <a:off x="1962150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82234</xdr:colOff>
      <xdr:row>866</xdr:row>
      <xdr:rowOff>114300</xdr:rowOff>
    </xdr:to>
    <xdr:sp macro="" textlink="">
      <xdr:nvSpPr>
        <xdr:cNvPr id="6712" name="Arrow: Down 6711">
          <a:extLst>
            <a:ext uri="{FF2B5EF4-FFF2-40B4-BE49-F238E27FC236}">
              <a16:creationId xmlns:a16="http://schemas.microsoft.com/office/drawing/2014/main" id="{FC4FFA9A-CD6A-418C-BD56-A4C2053DA419}"/>
            </a:ext>
          </a:extLst>
        </xdr:cNvPr>
        <xdr:cNvSpPr/>
      </xdr:nvSpPr>
      <xdr:spPr>
        <a:xfrm rot="10800000">
          <a:off x="1962150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870</xdr:row>
      <xdr:rowOff>0</xdr:rowOff>
    </xdr:from>
    <xdr:to>
      <xdr:col>11</xdr:col>
      <xdr:colOff>82234</xdr:colOff>
      <xdr:row>870</xdr:row>
      <xdr:rowOff>114300</xdr:rowOff>
    </xdr:to>
    <xdr:sp macro="" textlink="">
      <xdr:nvSpPr>
        <xdr:cNvPr id="6713" name="Arrow: Down 6712">
          <a:extLst>
            <a:ext uri="{FF2B5EF4-FFF2-40B4-BE49-F238E27FC236}">
              <a16:creationId xmlns:a16="http://schemas.microsoft.com/office/drawing/2014/main" id="{26EA8FF8-07E2-4CD1-BFDF-BB75E022B26B}"/>
            </a:ext>
          </a:extLst>
        </xdr:cNvPr>
        <xdr:cNvSpPr/>
      </xdr:nvSpPr>
      <xdr:spPr>
        <a:xfrm rot="10800000">
          <a:off x="3757613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868</xdr:row>
      <xdr:rowOff>0</xdr:rowOff>
    </xdr:from>
    <xdr:to>
      <xdr:col>11</xdr:col>
      <xdr:colOff>82234</xdr:colOff>
      <xdr:row>868</xdr:row>
      <xdr:rowOff>114300</xdr:rowOff>
    </xdr:to>
    <xdr:sp macro="" textlink="">
      <xdr:nvSpPr>
        <xdr:cNvPr id="6714" name="Arrow: Down 6713">
          <a:extLst>
            <a:ext uri="{FF2B5EF4-FFF2-40B4-BE49-F238E27FC236}">
              <a16:creationId xmlns:a16="http://schemas.microsoft.com/office/drawing/2014/main" id="{95D0625D-2C07-49FA-8ACD-F4D1CA68D2F0}"/>
            </a:ext>
          </a:extLst>
        </xdr:cNvPr>
        <xdr:cNvSpPr/>
      </xdr:nvSpPr>
      <xdr:spPr>
        <a:xfrm rot="10800000">
          <a:off x="3757613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867</xdr:row>
      <xdr:rowOff>0</xdr:rowOff>
    </xdr:from>
    <xdr:to>
      <xdr:col>11</xdr:col>
      <xdr:colOff>82234</xdr:colOff>
      <xdr:row>867</xdr:row>
      <xdr:rowOff>114300</xdr:rowOff>
    </xdr:to>
    <xdr:sp macro="" textlink="">
      <xdr:nvSpPr>
        <xdr:cNvPr id="6715" name="Arrow: Down 6714">
          <a:extLst>
            <a:ext uri="{FF2B5EF4-FFF2-40B4-BE49-F238E27FC236}">
              <a16:creationId xmlns:a16="http://schemas.microsoft.com/office/drawing/2014/main" id="{6B9F7AF2-CC59-4F68-AE29-EA509FD29079}"/>
            </a:ext>
          </a:extLst>
        </xdr:cNvPr>
        <xdr:cNvSpPr/>
      </xdr:nvSpPr>
      <xdr:spPr>
        <a:xfrm rot="10800000">
          <a:off x="3757613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866</xdr:row>
      <xdr:rowOff>0</xdr:rowOff>
    </xdr:from>
    <xdr:to>
      <xdr:col>11</xdr:col>
      <xdr:colOff>82234</xdr:colOff>
      <xdr:row>866</xdr:row>
      <xdr:rowOff>114300</xdr:rowOff>
    </xdr:to>
    <xdr:sp macro="" textlink="">
      <xdr:nvSpPr>
        <xdr:cNvPr id="6717" name="Arrow: Down 6716">
          <a:extLst>
            <a:ext uri="{FF2B5EF4-FFF2-40B4-BE49-F238E27FC236}">
              <a16:creationId xmlns:a16="http://schemas.microsoft.com/office/drawing/2014/main" id="{30578C89-DDFB-418B-82E1-FA61AB2A7F95}"/>
            </a:ext>
          </a:extLst>
        </xdr:cNvPr>
        <xdr:cNvSpPr/>
      </xdr:nvSpPr>
      <xdr:spPr>
        <a:xfrm rot="10800000">
          <a:off x="3757613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873</xdr:row>
      <xdr:rowOff>0</xdr:rowOff>
    </xdr:from>
    <xdr:to>
      <xdr:col>64</xdr:col>
      <xdr:colOff>83820</xdr:colOff>
      <xdr:row>873</xdr:row>
      <xdr:rowOff>114300</xdr:rowOff>
    </xdr:to>
    <xdr:sp macro="" textlink="">
      <xdr:nvSpPr>
        <xdr:cNvPr id="6718" name="Arrow: Down 6717">
          <a:extLst>
            <a:ext uri="{FF2B5EF4-FFF2-40B4-BE49-F238E27FC236}">
              <a16:creationId xmlns:a16="http://schemas.microsoft.com/office/drawing/2014/main" id="{DEB4F393-A868-44DC-806C-0B6504DEE8A5}"/>
            </a:ext>
          </a:extLst>
        </xdr:cNvPr>
        <xdr:cNvSpPr/>
      </xdr:nvSpPr>
      <xdr:spPr>
        <a:xfrm rot="10800000">
          <a:off x="19754850" y="1620869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873</xdr:row>
      <xdr:rowOff>0</xdr:rowOff>
    </xdr:from>
    <xdr:to>
      <xdr:col>45</xdr:col>
      <xdr:colOff>83820</xdr:colOff>
      <xdr:row>873</xdr:row>
      <xdr:rowOff>114300</xdr:rowOff>
    </xdr:to>
    <xdr:sp macro="" textlink="">
      <xdr:nvSpPr>
        <xdr:cNvPr id="6722" name="Arrow: Down 6721">
          <a:extLst>
            <a:ext uri="{FF2B5EF4-FFF2-40B4-BE49-F238E27FC236}">
              <a16:creationId xmlns:a16="http://schemas.microsoft.com/office/drawing/2014/main" id="{81554FC8-0D2B-45CE-A23E-4D642277822E}"/>
            </a:ext>
          </a:extLst>
        </xdr:cNvPr>
        <xdr:cNvSpPr/>
      </xdr:nvSpPr>
      <xdr:spPr>
        <a:xfrm rot="10800000">
          <a:off x="13644563" y="1620869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873</xdr:row>
      <xdr:rowOff>0</xdr:rowOff>
    </xdr:from>
    <xdr:to>
      <xdr:col>71</xdr:col>
      <xdr:colOff>83820</xdr:colOff>
      <xdr:row>873</xdr:row>
      <xdr:rowOff>114300</xdr:rowOff>
    </xdr:to>
    <xdr:sp macro="" textlink="">
      <xdr:nvSpPr>
        <xdr:cNvPr id="6723" name="Arrow: Down 6722">
          <a:extLst>
            <a:ext uri="{FF2B5EF4-FFF2-40B4-BE49-F238E27FC236}">
              <a16:creationId xmlns:a16="http://schemas.microsoft.com/office/drawing/2014/main" id="{274C9A67-6916-437D-B887-75550F503C8C}"/>
            </a:ext>
          </a:extLst>
        </xdr:cNvPr>
        <xdr:cNvSpPr/>
      </xdr:nvSpPr>
      <xdr:spPr>
        <a:xfrm rot="10800000">
          <a:off x="22412325" y="1620869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873</xdr:row>
      <xdr:rowOff>0</xdr:rowOff>
    </xdr:from>
    <xdr:to>
      <xdr:col>60</xdr:col>
      <xdr:colOff>82233</xdr:colOff>
      <xdr:row>873</xdr:row>
      <xdr:rowOff>114300</xdr:rowOff>
    </xdr:to>
    <xdr:sp macro="" textlink="">
      <xdr:nvSpPr>
        <xdr:cNvPr id="6724" name="Arrow: Down 6723">
          <a:extLst>
            <a:ext uri="{FF2B5EF4-FFF2-40B4-BE49-F238E27FC236}">
              <a16:creationId xmlns:a16="http://schemas.microsoft.com/office/drawing/2014/main" id="{5D56801E-BE43-4CF2-A2A2-E6F582DE9A73}"/>
            </a:ext>
          </a:extLst>
        </xdr:cNvPr>
        <xdr:cNvSpPr/>
      </xdr:nvSpPr>
      <xdr:spPr>
        <a:xfrm>
          <a:off x="19483388" y="1620869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874</xdr:row>
      <xdr:rowOff>0</xdr:rowOff>
    </xdr:from>
    <xdr:to>
      <xdr:col>64</xdr:col>
      <xdr:colOff>83820</xdr:colOff>
      <xdr:row>874</xdr:row>
      <xdr:rowOff>114300</xdr:rowOff>
    </xdr:to>
    <xdr:sp macro="" textlink="">
      <xdr:nvSpPr>
        <xdr:cNvPr id="6726" name="Arrow: Down 6725">
          <a:extLst>
            <a:ext uri="{FF2B5EF4-FFF2-40B4-BE49-F238E27FC236}">
              <a16:creationId xmlns:a16="http://schemas.microsoft.com/office/drawing/2014/main" id="{BCE9EA31-3465-4778-B7A6-C8110A6656CC}"/>
            </a:ext>
          </a:extLst>
        </xdr:cNvPr>
        <xdr:cNvSpPr/>
      </xdr:nvSpPr>
      <xdr:spPr>
        <a:xfrm rot="10800000">
          <a:off x="19754850" y="1622726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874</xdr:row>
      <xdr:rowOff>0</xdr:rowOff>
    </xdr:from>
    <xdr:to>
      <xdr:col>45</xdr:col>
      <xdr:colOff>83820</xdr:colOff>
      <xdr:row>874</xdr:row>
      <xdr:rowOff>114300</xdr:rowOff>
    </xdr:to>
    <xdr:sp macro="" textlink="">
      <xdr:nvSpPr>
        <xdr:cNvPr id="6730" name="Arrow: Down 6729">
          <a:extLst>
            <a:ext uri="{FF2B5EF4-FFF2-40B4-BE49-F238E27FC236}">
              <a16:creationId xmlns:a16="http://schemas.microsoft.com/office/drawing/2014/main" id="{E6F1B636-2D6C-4D40-8102-A8EAD60D3F8B}"/>
            </a:ext>
          </a:extLst>
        </xdr:cNvPr>
        <xdr:cNvSpPr/>
      </xdr:nvSpPr>
      <xdr:spPr>
        <a:xfrm rot="10800000">
          <a:off x="13644563" y="1622726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874</xdr:row>
      <xdr:rowOff>0</xdr:rowOff>
    </xdr:from>
    <xdr:to>
      <xdr:col>71</xdr:col>
      <xdr:colOff>83820</xdr:colOff>
      <xdr:row>874</xdr:row>
      <xdr:rowOff>114300</xdr:rowOff>
    </xdr:to>
    <xdr:sp macro="" textlink="">
      <xdr:nvSpPr>
        <xdr:cNvPr id="6731" name="Arrow: Down 6730">
          <a:extLst>
            <a:ext uri="{FF2B5EF4-FFF2-40B4-BE49-F238E27FC236}">
              <a16:creationId xmlns:a16="http://schemas.microsoft.com/office/drawing/2014/main" id="{68B5172A-D07C-4881-A19F-973A571F4E6E}"/>
            </a:ext>
          </a:extLst>
        </xdr:cNvPr>
        <xdr:cNvSpPr/>
      </xdr:nvSpPr>
      <xdr:spPr>
        <a:xfrm rot="10800000">
          <a:off x="22412325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875</xdr:row>
      <xdr:rowOff>0</xdr:rowOff>
    </xdr:from>
    <xdr:to>
      <xdr:col>64</xdr:col>
      <xdr:colOff>83820</xdr:colOff>
      <xdr:row>875</xdr:row>
      <xdr:rowOff>114300</xdr:rowOff>
    </xdr:to>
    <xdr:sp macro="" textlink="">
      <xdr:nvSpPr>
        <xdr:cNvPr id="6734" name="Arrow: Down 6733">
          <a:extLst>
            <a:ext uri="{FF2B5EF4-FFF2-40B4-BE49-F238E27FC236}">
              <a16:creationId xmlns:a16="http://schemas.microsoft.com/office/drawing/2014/main" id="{B5D16957-9A3B-4219-B4CC-E8C4F6412368}"/>
            </a:ext>
          </a:extLst>
        </xdr:cNvPr>
        <xdr:cNvSpPr/>
      </xdr:nvSpPr>
      <xdr:spPr>
        <a:xfrm rot="10800000">
          <a:off x="19754850" y="162458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875</xdr:row>
      <xdr:rowOff>0</xdr:rowOff>
    </xdr:from>
    <xdr:to>
      <xdr:col>45</xdr:col>
      <xdr:colOff>83820</xdr:colOff>
      <xdr:row>875</xdr:row>
      <xdr:rowOff>114300</xdr:rowOff>
    </xdr:to>
    <xdr:sp macro="" textlink="">
      <xdr:nvSpPr>
        <xdr:cNvPr id="6738" name="Arrow: Down 6737">
          <a:extLst>
            <a:ext uri="{FF2B5EF4-FFF2-40B4-BE49-F238E27FC236}">
              <a16:creationId xmlns:a16="http://schemas.microsoft.com/office/drawing/2014/main" id="{58943593-FAE6-4B52-BE4A-8D03C65E515A}"/>
            </a:ext>
          </a:extLst>
        </xdr:cNvPr>
        <xdr:cNvSpPr/>
      </xdr:nvSpPr>
      <xdr:spPr>
        <a:xfrm rot="10800000">
          <a:off x="13644563" y="1624584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875</xdr:row>
      <xdr:rowOff>0</xdr:rowOff>
    </xdr:from>
    <xdr:to>
      <xdr:col>71</xdr:col>
      <xdr:colOff>83820</xdr:colOff>
      <xdr:row>875</xdr:row>
      <xdr:rowOff>114300</xdr:rowOff>
    </xdr:to>
    <xdr:sp macro="" textlink="">
      <xdr:nvSpPr>
        <xdr:cNvPr id="6739" name="Arrow: Down 6738">
          <a:extLst>
            <a:ext uri="{FF2B5EF4-FFF2-40B4-BE49-F238E27FC236}">
              <a16:creationId xmlns:a16="http://schemas.microsoft.com/office/drawing/2014/main" id="{9747F053-6941-40AA-9AB1-CA0A828FE960}"/>
            </a:ext>
          </a:extLst>
        </xdr:cNvPr>
        <xdr:cNvSpPr/>
      </xdr:nvSpPr>
      <xdr:spPr>
        <a:xfrm rot="10800000">
          <a:off x="22412325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875</xdr:row>
      <xdr:rowOff>0</xdr:rowOff>
    </xdr:from>
    <xdr:to>
      <xdr:col>60</xdr:col>
      <xdr:colOff>82233</xdr:colOff>
      <xdr:row>875</xdr:row>
      <xdr:rowOff>114300</xdr:rowOff>
    </xdr:to>
    <xdr:sp macro="" textlink="">
      <xdr:nvSpPr>
        <xdr:cNvPr id="6740" name="Arrow: Down 6739">
          <a:extLst>
            <a:ext uri="{FF2B5EF4-FFF2-40B4-BE49-F238E27FC236}">
              <a16:creationId xmlns:a16="http://schemas.microsoft.com/office/drawing/2014/main" id="{E266D9DB-B7E0-4833-9890-B15327A2B5D3}"/>
            </a:ext>
          </a:extLst>
        </xdr:cNvPr>
        <xdr:cNvSpPr/>
      </xdr:nvSpPr>
      <xdr:spPr>
        <a:xfrm>
          <a:off x="19483388" y="162458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875</xdr:row>
      <xdr:rowOff>0</xdr:rowOff>
    </xdr:from>
    <xdr:to>
      <xdr:col>39</xdr:col>
      <xdr:colOff>80646</xdr:colOff>
      <xdr:row>875</xdr:row>
      <xdr:rowOff>114300</xdr:rowOff>
    </xdr:to>
    <xdr:sp macro="" textlink="">
      <xdr:nvSpPr>
        <xdr:cNvPr id="6741" name="Arrow: Down 6740">
          <a:extLst>
            <a:ext uri="{FF2B5EF4-FFF2-40B4-BE49-F238E27FC236}">
              <a16:creationId xmlns:a16="http://schemas.microsoft.com/office/drawing/2014/main" id="{042BEE4A-4478-43D9-BE01-C25EB17CECF0}"/>
            </a:ext>
          </a:extLst>
        </xdr:cNvPr>
        <xdr:cNvSpPr/>
      </xdr:nvSpPr>
      <xdr:spPr>
        <a:xfrm rot="10800000">
          <a:off x="11753850" y="162458400"/>
          <a:ext cx="82234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876</xdr:row>
      <xdr:rowOff>0</xdr:rowOff>
    </xdr:from>
    <xdr:to>
      <xdr:col>64</xdr:col>
      <xdr:colOff>83820</xdr:colOff>
      <xdr:row>876</xdr:row>
      <xdr:rowOff>114300</xdr:rowOff>
    </xdr:to>
    <xdr:sp macro="" textlink="">
      <xdr:nvSpPr>
        <xdr:cNvPr id="6742" name="Arrow: Down 6741">
          <a:extLst>
            <a:ext uri="{FF2B5EF4-FFF2-40B4-BE49-F238E27FC236}">
              <a16:creationId xmlns:a16="http://schemas.microsoft.com/office/drawing/2014/main" id="{1CC09676-1105-4A1C-B6F2-C222FD151E87}"/>
            </a:ext>
          </a:extLst>
        </xdr:cNvPr>
        <xdr:cNvSpPr/>
      </xdr:nvSpPr>
      <xdr:spPr>
        <a:xfrm rot="10800000">
          <a:off x="19754850" y="1626441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876</xdr:row>
      <xdr:rowOff>0</xdr:rowOff>
    </xdr:from>
    <xdr:to>
      <xdr:col>24</xdr:col>
      <xdr:colOff>83820</xdr:colOff>
      <xdr:row>876</xdr:row>
      <xdr:rowOff>114300</xdr:rowOff>
    </xdr:to>
    <xdr:sp macro="" textlink="">
      <xdr:nvSpPr>
        <xdr:cNvPr id="6743" name="Arrow: Down 6742">
          <a:extLst>
            <a:ext uri="{FF2B5EF4-FFF2-40B4-BE49-F238E27FC236}">
              <a16:creationId xmlns:a16="http://schemas.microsoft.com/office/drawing/2014/main" id="{609E32F5-DD97-40EE-9D93-79926B336A9C}"/>
            </a:ext>
          </a:extLst>
        </xdr:cNvPr>
        <xdr:cNvSpPr/>
      </xdr:nvSpPr>
      <xdr:spPr>
        <a:xfrm>
          <a:off x="8486775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876</xdr:row>
      <xdr:rowOff>0</xdr:rowOff>
    </xdr:from>
    <xdr:to>
      <xdr:col>5</xdr:col>
      <xdr:colOff>83820</xdr:colOff>
      <xdr:row>876</xdr:row>
      <xdr:rowOff>114300</xdr:rowOff>
    </xdr:to>
    <xdr:sp macro="" textlink="">
      <xdr:nvSpPr>
        <xdr:cNvPr id="6744" name="Arrow: Down 6743">
          <a:extLst>
            <a:ext uri="{FF2B5EF4-FFF2-40B4-BE49-F238E27FC236}">
              <a16:creationId xmlns:a16="http://schemas.microsoft.com/office/drawing/2014/main" id="{09823A35-03EF-4D93-AE96-F26390BBAB07}"/>
            </a:ext>
          </a:extLst>
        </xdr:cNvPr>
        <xdr:cNvSpPr/>
      </xdr:nvSpPr>
      <xdr:spPr>
        <a:xfrm>
          <a:off x="1962150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876</xdr:row>
      <xdr:rowOff>0</xdr:rowOff>
    </xdr:from>
    <xdr:to>
      <xdr:col>11</xdr:col>
      <xdr:colOff>83820</xdr:colOff>
      <xdr:row>876</xdr:row>
      <xdr:rowOff>114300</xdr:rowOff>
    </xdr:to>
    <xdr:sp macro="" textlink="">
      <xdr:nvSpPr>
        <xdr:cNvPr id="6745" name="Arrow: Down 6744">
          <a:extLst>
            <a:ext uri="{FF2B5EF4-FFF2-40B4-BE49-F238E27FC236}">
              <a16:creationId xmlns:a16="http://schemas.microsoft.com/office/drawing/2014/main" id="{BAC32AE3-2B2B-480A-A433-6AA32DB7886E}"/>
            </a:ext>
          </a:extLst>
        </xdr:cNvPr>
        <xdr:cNvSpPr/>
      </xdr:nvSpPr>
      <xdr:spPr>
        <a:xfrm>
          <a:off x="3757613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876</xdr:row>
      <xdr:rowOff>0</xdr:rowOff>
    </xdr:from>
    <xdr:to>
      <xdr:col>45</xdr:col>
      <xdr:colOff>83820</xdr:colOff>
      <xdr:row>876</xdr:row>
      <xdr:rowOff>114300</xdr:rowOff>
    </xdr:to>
    <xdr:sp macro="" textlink="">
      <xdr:nvSpPr>
        <xdr:cNvPr id="6746" name="Arrow: Down 6745">
          <a:extLst>
            <a:ext uri="{FF2B5EF4-FFF2-40B4-BE49-F238E27FC236}">
              <a16:creationId xmlns:a16="http://schemas.microsoft.com/office/drawing/2014/main" id="{C8F33469-CC01-4E5F-AAF5-511602EA5848}"/>
            </a:ext>
          </a:extLst>
        </xdr:cNvPr>
        <xdr:cNvSpPr/>
      </xdr:nvSpPr>
      <xdr:spPr>
        <a:xfrm rot="10800000">
          <a:off x="13644563" y="1626441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876</xdr:row>
      <xdr:rowOff>0</xdr:rowOff>
    </xdr:from>
    <xdr:to>
      <xdr:col>60</xdr:col>
      <xdr:colOff>82233</xdr:colOff>
      <xdr:row>876</xdr:row>
      <xdr:rowOff>114300</xdr:rowOff>
    </xdr:to>
    <xdr:sp macro="" textlink="">
      <xdr:nvSpPr>
        <xdr:cNvPr id="6748" name="Arrow: Down 6747">
          <a:extLst>
            <a:ext uri="{FF2B5EF4-FFF2-40B4-BE49-F238E27FC236}">
              <a16:creationId xmlns:a16="http://schemas.microsoft.com/office/drawing/2014/main" id="{8F8A4EE9-6485-4FBD-A53F-EE654DAF67A5}"/>
            </a:ext>
          </a:extLst>
        </xdr:cNvPr>
        <xdr:cNvSpPr/>
      </xdr:nvSpPr>
      <xdr:spPr>
        <a:xfrm>
          <a:off x="19483388" y="1626441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877</xdr:row>
      <xdr:rowOff>0</xdr:rowOff>
    </xdr:from>
    <xdr:to>
      <xdr:col>64</xdr:col>
      <xdr:colOff>83820</xdr:colOff>
      <xdr:row>877</xdr:row>
      <xdr:rowOff>114300</xdr:rowOff>
    </xdr:to>
    <xdr:sp macro="" textlink="">
      <xdr:nvSpPr>
        <xdr:cNvPr id="6750" name="Arrow: Down 6749">
          <a:extLst>
            <a:ext uri="{FF2B5EF4-FFF2-40B4-BE49-F238E27FC236}">
              <a16:creationId xmlns:a16="http://schemas.microsoft.com/office/drawing/2014/main" id="{0B0F88A9-E3BA-4B58-9231-A53F5BC995D5}"/>
            </a:ext>
          </a:extLst>
        </xdr:cNvPr>
        <xdr:cNvSpPr/>
      </xdr:nvSpPr>
      <xdr:spPr>
        <a:xfrm rot="10800000">
          <a:off x="19754850" y="1628298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877</xdr:row>
      <xdr:rowOff>0</xdr:rowOff>
    </xdr:from>
    <xdr:to>
      <xdr:col>45</xdr:col>
      <xdr:colOff>83820</xdr:colOff>
      <xdr:row>877</xdr:row>
      <xdr:rowOff>114300</xdr:rowOff>
    </xdr:to>
    <xdr:sp macro="" textlink="">
      <xdr:nvSpPr>
        <xdr:cNvPr id="6754" name="Arrow: Down 6753">
          <a:extLst>
            <a:ext uri="{FF2B5EF4-FFF2-40B4-BE49-F238E27FC236}">
              <a16:creationId xmlns:a16="http://schemas.microsoft.com/office/drawing/2014/main" id="{F1ACA4C9-9CD4-4347-BDA6-C1A828396FF3}"/>
            </a:ext>
          </a:extLst>
        </xdr:cNvPr>
        <xdr:cNvSpPr/>
      </xdr:nvSpPr>
      <xdr:spPr>
        <a:xfrm rot="10800000">
          <a:off x="13644563" y="1628298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877</xdr:row>
      <xdr:rowOff>0</xdr:rowOff>
    </xdr:from>
    <xdr:to>
      <xdr:col>71</xdr:col>
      <xdr:colOff>83820</xdr:colOff>
      <xdr:row>877</xdr:row>
      <xdr:rowOff>114300</xdr:rowOff>
    </xdr:to>
    <xdr:sp macro="" textlink="">
      <xdr:nvSpPr>
        <xdr:cNvPr id="6755" name="Arrow: Down 6754">
          <a:extLst>
            <a:ext uri="{FF2B5EF4-FFF2-40B4-BE49-F238E27FC236}">
              <a16:creationId xmlns:a16="http://schemas.microsoft.com/office/drawing/2014/main" id="{7159E5FF-B91F-4192-9ED8-CDEEBB0FA463}"/>
            </a:ext>
          </a:extLst>
        </xdr:cNvPr>
        <xdr:cNvSpPr/>
      </xdr:nvSpPr>
      <xdr:spPr>
        <a:xfrm rot="10800000">
          <a:off x="22412325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878</xdr:row>
      <xdr:rowOff>0</xdr:rowOff>
    </xdr:from>
    <xdr:to>
      <xdr:col>64</xdr:col>
      <xdr:colOff>83820</xdr:colOff>
      <xdr:row>878</xdr:row>
      <xdr:rowOff>114300</xdr:rowOff>
    </xdr:to>
    <xdr:sp macro="" textlink="">
      <xdr:nvSpPr>
        <xdr:cNvPr id="6758" name="Arrow: Down 6757">
          <a:extLst>
            <a:ext uri="{FF2B5EF4-FFF2-40B4-BE49-F238E27FC236}">
              <a16:creationId xmlns:a16="http://schemas.microsoft.com/office/drawing/2014/main" id="{8A67DF71-0689-4852-8508-8EA8CAF45F62}"/>
            </a:ext>
          </a:extLst>
        </xdr:cNvPr>
        <xdr:cNvSpPr/>
      </xdr:nvSpPr>
      <xdr:spPr>
        <a:xfrm rot="10800000">
          <a:off x="19754850" y="1630156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878</xdr:row>
      <xdr:rowOff>0</xdr:rowOff>
    </xdr:from>
    <xdr:to>
      <xdr:col>24</xdr:col>
      <xdr:colOff>83820</xdr:colOff>
      <xdr:row>878</xdr:row>
      <xdr:rowOff>114300</xdr:rowOff>
    </xdr:to>
    <xdr:sp macro="" textlink="">
      <xdr:nvSpPr>
        <xdr:cNvPr id="6759" name="Arrow: Down 6758">
          <a:extLst>
            <a:ext uri="{FF2B5EF4-FFF2-40B4-BE49-F238E27FC236}">
              <a16:creationId xmlns:a16="http://schemas.microsoft.com/office/drawing/2014/main" id="{ACF396FA-C610-4EF6-9335-E010857FC59F}"/>
            </a:ext>
          </a:extLst>
        </xdr:cNvPr>
        <xdr:cNvSpPr/>
      </xdr:nvSpPr>
      <xdr:spPr>
        <a:xfrm>
          <a:off x="8486775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878</xdr:row>
      <xdr:rowOff>0</xdr:rowOff>
    </xdr:from>
    <xdr:to>
      <xdr:col>5</xdr:col>
      <xdr:colOff>83820</xdr:colOff>
      <xdr:row>878</xdr:row>
      <xdr:rowOff>114300</xdr:rowOff>
    </xdr:to>
    <xdr:sp macro="" textlink="">
      <xdr:nvSpPr>
        <xdr:cNvPr id="6760" name="Arrow: Down 6759">
          <a:extLst>
            <a:ext uri="{FF2B5EF4-FFF2-40B4-BE49-F238E27FC236}">
              <a16:creationId xmlns:a16="http://schemas.microsoft.com/office/drawing/2014/main" id="{0FA66413-4BF4-4769-B171-B40D7D7AA2D1}"/>
            </a:ext>
          </a:extLst>
        </xdr:cNvPr>
        <xdr:cNvSpPr/>
      </xdr:nvSpPr>
      <xdr:spPr>
        <a:xfrm>
          <a:off x="1962150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878</xdr:row>
      <xdr:rowOff>0</xdr:rowOff>
    </xdr:from>
    <xdr:to>
      <xdr:col>11</xdr:col>
      <xdr:colOff>83820</xdr:colOff>
      <xdr:row>878</xdr:row>
      <xdr:rowOff>114300</xdr:rowOff>
    </xdr:to>
    <xdr:sp macro="" textlink="">
      <xdr:nvSpPr>
        <xdr:cNvPr id="6761" name="Arrow: Down 6760">
          <a:extLst>
            <a:ext uri="{FF2B5EF4-FFF2-40B4-BE49-F238E27FC236}">
              <a16:creationId xmlns:a16="http://schemas.microsoft.com/office/drawing/2014/main" id="{75EC80A7-2439-48FA-8CE6-678FF6E4914B}"/>
            </a:ext>
          </a:extLst>
        </xdr:cNvPr>
        <xdr:cNvSpPr/>
      </xdr:nvSpPr>
      <xdr:spPr>
        <a:xfrm>
          <a:off x="3757613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878</xdr:row>
      <xdr:rowOff>0</xdr:rowOff>
    </xdr:from>
    <xdr:to>
      <xdr:col>45</xdr:col>
      <xdr:colOff>83820</xdr:colOff>
      <xdr:row>878</xdr:row>
      <xdr:rowOff>114300</xdr:rowOff>
    </xdr:to>
    <xdr:sp macro="" textlink="">
      <xdr:nvSpPr>
        <xdr:cNvPr id="6762" name="Arrow: Down 6761">
          <a:extLst>
            <a:ext uri="{FF2B5EF4-FFF2-40B4-BE49-F238E27FC236}">
              <a16:creationId xmlns:a16="http://schemas.microsoft.com/office/drawing/2014/main" id="{18D96AF2-8F6F-4379-88D2-0A81A574D170}"/>
            </a:ext>
          </a:extLst>
        </xdr:cNvPr>
        <xdr:cNvSpPr/>
      </xdr:nvSpPr>
      <xdr:spPr>
        <a:xfrm rot="10800000">
          <a:off x="13644563" y="1630156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878</xdr:row>
      <xdr:rowOff>0</xdr:rowOff>
    </xdr:from>
    <xdr:to>
      <xdr:col>60</xdr:col>
      <xdr:colOff>82233</xdr:colOff>
      <xdr:row>878</xdr:row>
      <xdr:rowOff>114300</xdr:rowOff>
    </xdr:to>
    <xdr:sp macro="" textlink="">
      <xdr:nvSpPr>
        <xdr:cNvPr id="6764" name="Arrow: Down 6763">
          <a:extLst>
            <a:ext uri="{FF2B5EF4-FFF2-40B4-BE49-F238E27FC236}">
              <a16:creationId xmlns:a16="http://schemas.microsoft.com/office/drawing/2014/main" id="{7DAE71CA-4F7D-49C2-9567-3281AFAD478B}"/>
            </a:ext>
          </a:extLst>
        </xdr:cNvPr>
        <xdr:cNvSpPr/>
      </xdr:nvSpPr>
      <xdr:spPr>
        <a:xfrm>
          <a:off x="19483388" y="1630156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879</xdr:row>
      <xdr:rowOff>0</xdr:rowOff>
    </xdr:from>
    <xdr:to>
      <xdr:col>64</xdr:col>
      <xdr:colOff>83820</xdr:colOff>
      <xdr:row>879</xdr:row>
      <xdr:rowOff>114300</xdr:rowOff>
    </xdr:to>
    <xdr:sp macro="" textlink="">
      <xdr:nvSpPr>
        <xdr:cNvPr id="6766" name="Arrow: Down 6765">
          <a:extLst>
            <a:ext uri="{FF2B5EF4-FFF2-40B4-BE49-F238E27FC236}">
              <a16:creationId xmlns:a16="http://schemas.microsoft.com/office/drawing/2014/main" id="{61C9516B-0A7E-4D53-9CC1-554FF5BD3BE8}"/>
            </a:ext>
          </a:extLst>
        </xdr:cNvPr>
        <xdr:cNvSpPr/>
      </xdr:nvSpPr>
      <xdr:spPr>
        <a:xfrm rot="10800000">
          <a:off x="19754850" y="163201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879</xdr:row>
      <xdr:rowOff>0</xdr:rowOff>
    </xdr:from>
    <xdr:to>
      <xdr:col>24</xdr:col>
      <xdr:colOff>83820</xdr:colOff>
      <xdr:row>879</xdr:row>
      <xdr:rowOff>114300</xdr:rowOff>
    </xdr:to>
    <xdr:sp macro="" textlink="">
      <xdr:nvSpPr>
        <xdr:cNvPr id="6767" name="Arrow: Down 6766">
          <a:extLst>
            <a:ext uri="{FF2B5EF4-FFF2-40B4-BE49-F238E27FC236}">
              <a16:creationId xmlns:a16="http://schemas.microsoft.com/office/drawing/2014/main" id="{B450D27F-CB61-4F60-9CB0-FC70BA1DC716}"/>
            </a:ext>
          </a:extLst>
        </xdr:cNvPr>
        <xdr:cNvSpPr/>
      </xdr:nvSpPr>
      <xdr:spPr>
        <a:xfrm>
          <a:off x="8486775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879</xdr:row>
      <xdr:rowOff>0</xdr:rowOff>
    </xdr:from>
    <xdr:to>
      <xdr:col>5</xdr:col>
      <xdr:colOff>83820</xdr:colOff>
      <xdr:row>879</xdr:row>
      <xdr:rowOff>114300</xdr:rowOff>
    </xdr:to>
    <xdr:sp macro="" textlink="">
      <xdr:nvSpPr>
        <xdr:cNvPr id="6768" name="Arrow: Down 6767">
          <a:extLst>
            <a:ext uri="{FF2B5EF4-FFF2-40B4-BE49-F238E27FC236}">
              <a16:creationId xmlns:a16="http://schemas.microsoft.com/office/drawing/2014/main" id="{BA0E44FA-63B9-4909-BB69-C1155D3DA26C}"/>
            </a:ext>
          </a:extLst>
        </xdr:cNvPr>
        <xdr:cNvSpPr/>
      </xdr:nvSpPr>
      <xdr:spPr>
        <a:xfrm>
          <a:off x="1962150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879</xdr:row>
      <xdr:rowOff>0</xdr:rowOff>
    </xdr:from>
    <xdr:to>
      <xdr:col>11</xdr:col>
      <xdr:colOff>83820</xdr:colOff>
      <xdr:row>879</xdr:row>
      <xdr:rowOff>114300</xdr:rowOff>
    </xdr:to>
    <xdr:sp macro="" textlink="">
      <xdr:nvSpPr>
        <xdr:cNvPr id="6769" name="Arrow: Down 6768">
          <a:extLst>
            <a:ext uri="{FF2B5EF4-FFF2-40B4-BE49-F238E27FC236}">
              <a16:creationId xmlns:a16="http://schemas.microsoft.com/office/drawing/2014/main" id="{81ABF207-3004-49F8-86DD-39173FEE94DC}"/>
            </a:ext>
          </a:extLst>
        </xdr:cNvPr>
        <xdr:cNvSpPr/>
      </xdr:nvSpPr>
      <xdr:spPr>
        <a:xfrm>
          <a:off x="3757613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879</xdr:row>
      <xdr:rowOff>0</xdr:rowOff>
    </xdr:from>
    <xdr:to>
      <xdr:col>45</xdr:col>
      <xdr:colOff>83820</xdr:colOff>
      <xdr:row>879</xdr:row>
      <xdr:rowOff>114300</xdr:rowOff>
    </xdr:to>
    <xdr:sp macro="" textlink="">
      <xdr:nvSpPr>
        <xdr:cNvPr id="6770" name="Arrow: Down 6769">
          <a:extLst>
            <a:ext uri="{FF2B5EF4-FFF2-40B4-BE49-F238E27FC236}">
              <a16:creationId xmlns:a16="http://schemas.microsoft.com/office/drawing/2014/main" id="{085CB7B0-DBAB-4245-8453-BB80C7361F1F}"/>
            </a:ext>
          </a:extLst>
        </xdr:cNvPr>
        <xdr:cNvSpPr/>
      </xdr:nvSpPr>
      <xdr:spPr>
        <a:xfrm rot="10800000">
          <a:off x="13644563" y="1632013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879</xdr:row>
      <xdr:rowOff>0</xdr:rowOff>
    </xdr:from>
    <xdr:to>
      <xdr:col>71</xdr:col>
      <xdr:colOff>83820</xdr:colOff>
      <xdr:row>879</xdr:row>
      <xdr:rowOff>114300</xdr:rowOff>
    </xdr:to>
    <xdr:sp macro="" textlink="">
      <xdr:nvSpPr>
        <xdr:cNvPr id="6771" name="Arrow: Down 6770">
          <a:extLst>
            <a:ext uri="{FF2B5EF4-FFF2-40B4-BE49-F238E27FC236}">
              <a16:creationId xmlns:a16="http://schemas.microsoft.com/office/drawing/2014/main" id="{84FC4239-0C6A-4E84-9E94-4E9E5FBD2C48}"/>
            </a:ext>
          </a:extLst>
        </xdr:cNvPr>
        <xdr:cNvSpPr/>
      </xdr:nvSpPr>
      <xdr:spPr>
        <a:xfrm rot="10800000">
          <a:off x="22412325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879</xdr:row>
      <xdr:rowOff>0</xdr:rowOff>
    </xdr:from>
    <xdr:to>
      <xdr:col>39</xdr:col>
      <xdr:colOff>82233</xdr:colOff>
      <xdr:row>879</xdr:row>
      <xdr:rowOff>114300</xdr:rowOff>
    </xdr:to>
    <xdr:sp macro="" textlink="">
      <xdr:nvSpPr>
        <xdr:cNvPr id="6774" name="Arrow: Down 6773">
          <a:extLst>
            <a:ext uri="{FF2B5EF4-FFF2-40B4-BE49-F238E27FC236}">
              <a16:creationId xmlns:a16="http://schemas.microsoft.com/office/drawing/2014/main" id="{DE00ADA5-AA19-4471-8804-98780762841F}"/>
            </a:ext>
          </a:extLst>
        </xdr:cNvPr>
        <xdr:cNvSpPr/>
      </xdr:nvSpPr>
      <xdr:spPr>
        <a:xfrm>
          <a:off x="11753850" y="1633870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873</xdr:row>
      <xdr:rowOff>0</xdr:rowOff>
    </xdr:from>
    <xdr:to>
      <xdr:col>39</xdr:col>
      <xdr:colOff>82233</xdr:colOff>
      <xdr:row>873</xdr:row>
      <xdr:rowOff>114300</xdr:rowOff>
    </xdr:to>
    <xdr:sp macro="" textlink="">
      <xdr:nvSpPr>
        <xdr:cNvPr id="6776" name="Arrow: Down 6775">
          <a:extLst>
            <a:ext uri="{FF2B5EF4-FFF2-40B4-BE49-F238E27FC236}">
              <a16:creationId xmlns:a16="http://schemas.microsoft.com/office/drawing/2014/main" id="{99B3E731-7259-48E7-8D06-231E3F7A5A59}"/>
            </a:ext>
          </a:extLst>
        </xdr:cNvPr>
        <xdr:cNvSpPr/>
      </xdr:nvSpPr>
      <xdr:spPr>
        <a:xfrm>
          <a:off x="11753850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874</xdr:row>
      <xdr:rowOff>0</xdr:rowOff>
    </xdr:from>
    <xdr:to>
      <xdr:col>39</xdr:col>
      <xdr:colOff>82233</xdr:colOff>
      <xdr:row>874</xdr:row>
      <xdr:rowOff>114300</xdr:rowOff>
    </xdr:to>
    <xdr:sp macro="" textlink="">
      <xdr:nvSpPr>
        <xdr:cNvPr id="6778" name="Arrow: Down 6777">
          <a:extLst>
            <a:ext uri="{FF2B5EF4-FFF2-40B4-BE49-F238E27FC236}">
              <a16:creationId xmlns:a16="http://schemas.microsoft.com/office/drawing/2014/main" id="{332CF0EB-471F-43D3-805C-2DFC5196844F}"/>
            </a:ext>
          </a:extLst>
        </xdr:cNvPr>
        <xdr:cNvSpPr/>
      </xdr:nvSpPr>
      <xdr:spPr>
        <a:xfrm>
          <a:off x="11753850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876</xdr:row>
      <xdr:rowOff>0</xdr:rowOff>
    </xdr:from>
    <xdr:to>
      <xdr:col>39</xdr:col>
      <xdr:colOff>82233</xdr:colOff>
      <xdr:row>876</xdr:row>
      <xdr:rowOff>114300</xdr:rowOff>
    </xdr:to>
    <xdr:sp macro="" textlink="">
      <xdr:nvSpPr>
        <xdr:cNvPr id="6779" name="Arrow: Down 6778">
          <a:extLst>
            <a:ext uri="{FF2B5EF4-FFF2-40B4-BE49-F238E27FC236}">
              <a16:creationId xmlns:a16="http://schemas.microsoft.com/office/drawing/2014/main" id="{C02B3130-7CDF-4100-8785-46EFD02D5168}"/>
            </a:ext>
          </a:extLst>
        </xdr:cNvPr>
        <xdr:cNvSpPr/>
      </xdr:nvSpPr>
      <xdr:spPr>
        <a:xfrm>
          <a:off x="11753850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877</xdr:row>
      <xdr:rowOff>0</xdr:rowOff>
    </xdr:from>
    <xdr:to>
      <xdr:col>39</xdr:col>
      <xdr:colOff>82233</xdr:colOff>
      <xdr:row>877</xdr:row>
      <xdr:rowOff>114300</xdr:rowOff>
    </xdr:to>
    <xdr:sp macro="" textlink="">
      <xdr:nvSpPr>
        <xdr:cNvPr id="6780" name="Arrow: Down 6779">
          <a:extLst>
            <a:ext uri="{FF2B5EF4-FFF2-40B4-BE49-F238E27FC236}">
              <a16:creationId xmlns:a16="http://schemas.microsoft.com/office/drawing/2014/main" id="{123897D9-7B14-417E-ACF1-B4C63EDD2A4A}"/>
            </a:ext>
          </a:extLst>
        </xdr:cNvPr>
        <xdr:cNvSpPr/>
      </xdr:nvSpPr>
      <xdr:spPr>
        <a:xfrm>
          <a:off x="11753850" y="1630156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878</xdr:row>
      <xdr:rowOff>0</xdr:rowOff>
    </xdr:from>
    <xdr:to>
      <xdr:col>39</xdr:col>
      <xdr:colOff>82233</xdr:colOff>
      <xdr:row>878</xdr:row>
      <xdr:rowOff>114300</xdr:rowOff>
    </xdr:to>
    <xdr:sp macro="" textlink="">
      <xdr:nvSpPr>
        <xdr:cNvPr id="6782" name="Arrow: Down 6781">
          <a:extLst>
            <a:ext uri="{FF2B5EF4-FFF2-40B4-BE49-F238E27FC236}">
              <a16:creationId xmlns:a16="http://schemas.microsoft.com/office/drawing/2014/main" id="{867DF220-7670-4D9C-9272-7A3D90161D5E}"/>
            </a:ext>
          </a:extLst>
        </xdr:cNvPr>
        <xdr:cNvSpPr/>
      </xdr:nvSpPr>
      <xdr:spPr>
        <a:xfrm>
          <a:off x="11753850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876</xdr:row>
      <xdr:rowOff>0</xdr:rowOff>
    </xdr:from>
    <xdr:to>
      <xdr:col>71</xdr:col>
      <xdr:colOff>80646</xdr:colOff>
      <xdr:row>876</xdr:row>
      <xdr:rowOff>114300</xdr:rowOff>
    </xdr:to>
    <xdr:sp macro="" textlink="">
      <xdr:nvSpPr>
        <xdr:cNvPr id="6784" name="Arrow: Down 6783">
          <a:extLst>
            <a:ext uri="{FF2B5EF4-FFF2-40B4-BE49-F238E27FC236}">
              <a16:creationId xmlns:a16="http://schemas.microsoft.com/office/drawing/2014/main" id="{C216EC17-F2C2-4D12-B36B-E2997E35D907}"/>
            </a:ext>
          </a:extLst>
        </xdr:cNvPr>
        <xdr:cNvSpPr/>
      </xdr:nvSpPr>
      <xdr:spPr>
        <a:xfrm>
          <a:off x="22412325" y="1628298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878</xdr:row>
      <xdr:rowOff>0</xdr:rowOff>
    </xdr:from>
    <xdr:to>
      <xdr:col>71</xdr:col>
      <xdr:colOff>80646</xdr:colOff>
      <xdr:row>878</xdr:row>
      <xdr:rowOff>114300</xdr:rowOff>
    </xdr:to>
    <xdr:sp macro="" textlink="">
      <xdr:nvSpPr>
        <xdr:cNvPr id="6785" name="Arrow: Down 6784">
          <a:extLst>
            <a:ext uri="{FF2B5EF4-FFF2-40B4-BE49-F238E27FC236}">
              <a16:creationId xmlns:a16="http://schemas.microsoft.com/office/drawing/2014/main" id="{0F4036F1-B8B9-4364-8153-F17214D76E3A}"/>
            </a:ext>
          </a:extLst>
        </xdr:cNvPr>
        <xdr:cNvSpPr/>
      </xdr:nvSpPr>
      <xdr:spPr>
        <a:xfrm>
          <a:off x="22412325" y="163201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874</xdr:row>
      <xdr:rowOff>0</xdr:rowOff>
    </xdr:from>
    <xdr:to>
      <xdr:col>60</xdr:col>
      <xdr:colOff>82234</xdr:colOff>
      <xdr:row>874</xdr:row>
      <xdr:rowOff>114300</xdr:rowOff>
    </xdr:to>
    <xdr:sp macro="" textlink="">
      <xdr:nvSpPr>
        <xdr:cNvPr id="6787" name="Arrow: Down 6786">
          <a:extLst>
            <a:ext uri="{FF2B5EF4-FFF2-40B4-BE49-F238E27FC236}">
              <a16:creationId xmlns:a16="http://schemas.microsoft.com/office/drawing/2014/main" id="{784B51C0-0550-4217-B0FC-2D102ACB75A8}"/>
            </a:ext>
          </a:extLst>
        </xdr:cNvPr>
        <xdr:cNvSpPr/>
      </xdr:nvSpPr>
      <xdr:spPr>
        <a:xfrm rot="10800000">
          <a:off x="19483388" y="1624584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879</xdr:row>
      <xdr:rowOff>0</xdr:rowOff>
    </xdr:from>
    <xdr:to>
      <xdr:col>60</xdr:col>
      <xdr:colOff>82234</xdr:colOff>
      <xdr:row>879</xdr:row>
      <xdr:rowOff>114300</xdr:rowOff>
    </xdr:to>
    <xdr:sp macro="" textlink="">
      <xdr:nvSpPr>
        <xdr:cNvPr id="6788" name="Arrow: Down 6787">
          <a:extLst>
            <a:ext uri="{FF2B5EF4-FFF2-40B4-BE49-F238E27FC236}">
              <a16:creationId xmlns:a16="http://schemas.microsoft.com/office/drawing/2014/main" id="{CEC2134E-9FE4-4701-85D7-2091FB53759D}"/>
            </a:ext>
          </a:extLst>
        </xdr:cNvPr>
        <xdr:cNvSpPr/>
      </xdr:nvSpPr>
      <xdr:spPr>
        <a:xfrm rot="10800000">
          <a:off x="19483388" y="1633870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877</xdr:row>
      <xdr:rowOff>0</xdr:rowOff>
    </xdr:from>
    <xdr:to>
      <xdr:col>60</xdr:col>
      <xdr:colOff>82234</xdr:colOff>
      <xdr:row>877</xdr:row>
      <xdr:rowOff>114300</xdr:rowOff>
    </xdr:to>
    <xdr:sp macro="" textlink="">
      <xdr:nvSpPr>
        <xdr:cNvPr id="6790" name="Arrow: Down 6789">
          <a:extLst>
            <a:ext uri="{FF2B5EF4-FFF2-40B4-BE49-F238E27FC236}">
              <a16:creationId xmlns:a16="http://schemas.microsoft.com/office/drawing/2014/main" id="{7E4002D3-2623-4199-B2DA-81FC2E999538}"/>
            </a:ext>
          </a:extLst>
        </xdr:cNvPr>
        <xdr:cNvSpPr/>
      </xdr:nvSpPr>
      <xdr:spPr>
        <a:xfrm rot="10800000">
          <a:off x="19483388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873</xdr:row>
      <xdr:rowOff>0</xdr:rowOff>
    </xdr:from>
    <xdr:to>
      <xdr:col>5</xdr:col>
      <xdr:colOff>82234</xdr:colOff>
      <xdr:row>873</xdr:row>
      <xdr:rowOff>114300</xdr:rowOff>
    </xdr:to>
    <xdr:sp macro="" textlink="">
      <xdr:nvSpPr>
        <xdr:cNvPr id="6792" name="Arrow: Down 6791">
          <a:extLst>
            <a:ext uri="{FF2B5EF4-FFF2-40B4-BE49-F238E27FC236}">
              <a16:creationId xmlns:a16="http://schemas.microsoft.com/office/drawing/2014/main" id="{E6EE188C-C8E2-4610-93FD-858139D59E90}"/>
            </a:ext>
          </a:extLst>
        </xdr:cNvPr>
        <xdr:cNvSpPr/>
      </xdr:nvSpPr>
      <xdr:spPr>
        <a:xfrm rot="10800000">
          <a:off x="1962150" y="1622726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877</xdr:row>
      <xdr:rowOff>0</xdr:rowOff>
    </xdr:from>
    <xdr:to>
      <xdr:col>5</xdr:col>
      <xdr:colOff>82234</xdr:colOff>
      <xdr:row>877</xdr:row>
      <xdr:rowOff>114300</xdr:rowOff>
    </xdr:to>
    <xdr:sp macro="" textlink="">
      <xdr:nvSpPr>
        <xdr:cNvPr id="6793" name="Arrow: Down 6792">
          <a:extLst>
            <a:ext uri="{FF2B5EF4-FFF2-40B4-BE49-F238E27FC236}">
              <a16:creationId xmlns:a16="http://schemas.microsoft.com/office/drawing/2014/main" id="{8A8FE956-8C1A-4E69-B017-0F6EAD22E348}"/>
            </a:ext>
          </a:extLst>
        </xdr:cNvPr>
        <xdr:cNvSpPr/>
      </xdr:nvSpPr>
      <xdr:spPr>
        <a:xfrm rot="10800000">
          <a:off x="1962150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82234</xdr:colOff>
      <xdr:row>875</xdr:row>
      <xdr:rowOff>114300</xdr:rowOff>
    </xdr:to>
    <xdr:sp macro="" textlink="">
      <xdr:nvSpPr>
        <xdr:cNvPr id="6794" name="Arrow: Down 6793">
          <a:extLst>
            <a:ext uri="{FF2B5EF4-FFF2-40B4-BE49-F238E27FC236}">
              <a16:creationId xmlns:a16="http://schemas.microsoft.com/office/drawing/2014/main" id="{105492BA-BE30-4414-82BC-711A9CDFC218}"/>
            </a:ext>
          </a:extLst>
        </xdr:cNvPr>
        <xdr:cNvSpPr/>
      </xdr:nvSpPr>
      <xdr:spPr>
        <a:xfrm rot="10800000">
          <a:off x="1962150" y="1626441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80647</xdr:colOff>
      <xdr:row>875</xdr:row>
      <xdr:rowOff>114300</xdr:rowOff>
    </xdr:to>
    <xdr:sp macro="" textlink="">
      <xdr:nvSpPr>
        <xdr:cNvPr id="6795" name="Arrow: Down 6794">
          <a:extLst>
            <a:ext uri="{FF2B5EF4-FFF2-40B4-BE49-F238E27FC236}">
              <a16:creationId xmlns:a16="http://schemas.microsoft.com/office/drawing/2014/main" id="{3FEBD07B-8C8C-45FD-87D3-7E602868F6D8}"/>
            </a:ext>
          </a:extLst>
        </xdr:cNvPr>
        <xdr:cNvSpPr/>
      </xdr:nvSpPr>
      <xdr:spPr>
        <a:xfrm rot="10800000">
          <a:off x="1962150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874</xdr:row>
      <xdr:rowOff>0</xdr:rowOff>
    </xdr:from>
    <xdr:to>
      <xdr:col>5</xdr:col>
      <xdr:colOff>82235</xdr:colOff>
      <xdr:row>874</xdr:row>
      <xdr:rowOff>114300</xdr:rowOff>
    </xdr:to>
    <xdr:sp macro="" textlink="">
      <xdr:nvSpPr>
        <xdr:cNvPr id="6796" name="Arrow: Down 6795">
          <a:extLst>
            <a:ext uri="{FF2B5EF4-FFF2-40B4-BE49-F238E27FC236}">
              <a16:creationId xmlns:a16="http://schemas.microsoft.com/office/drawing/2014/main" id="{858D31E9-A28C-4DE3-A4A4-8EF21D84358D}"/>
            </a:ext>
          </a:extLst>
        </xdr:cNvPr>
        <xdr:cNvSpPr/>
      </xdr:nvSpPr>
      <xdr:spPr>
        <a:xfrm rot="10800000">
          <a:off x="1962150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877</xdr:row>
      <xdr:rowOff>0</xdr:rowOff>
    </xdr:from>
    <xdr:to>
      <xdr:col>11</xdr:col>
      <xdr:colOff>82235</xdr:colOff>
      <xdr:row>877</xdr:row>
      <xdr:rowOff>114300</xdr:rowOff>
    </xdr:to>
    <xdr:sp macro="" textlink="">
      <xdr:nvSpPr>
        <xdr:cNvPr id="6798" name="Arrow: Down 6797">
          <a:extLst>
            <a:ext uri="{FF2B5EF4-FFF2-40B4-BE49-F238E27FC236}">
              <a16:creationId xmlns:a16="http://schemas.microsoft.com/office/drawing/2014/main" id="{54623462-C3F8-4390-A648-9E38D9BFAE2D}"/>
            </a:ext>
          </a:extLst>
        </xdr:cNvPr>
        <xdr:cNvSpPr/>
      </xdr:nvSpPr>
      <xdr:spPr>
        <a:xfrm rot="10800000">
          <a:off x="3757613" y="16301561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875</xdr:row>
      <xdr:rowOff>0</xdr:rowOff>
    </xdr:from>
    <xdr:to>
      <xdr:col>11</xdr:col>
      <xdr:colOff>82235</xdr:colOff>
      <xdr:row>875</xdr:row>
      <xdr:rowOff>114300</xdr:rowOff>
    </xdr:to>
    <xdr:sp macro="" textlink="">
      <xdr:nvSpPr>
        <xdr:cNvPr id="6800" name="Arrow: Down 6799">
          <a:extLst>
            <a:ext uri="{FF2B5EF4-FFF2-40B4-BE49-F238E27FC236}">
              <a16:creationId xmlns:a16="http://schemas.microsoft.com/office/drawing/2014/main" id="{CDA45562-AA2F-43FD-8494-011847C23BC0}"/>
            </a:ext>
          </a:extLst>
        </xdr:cNvPr>
        <xdr:cNvSpPr/>
      </xdr:nvSpPr>
      <xdr:spPr>
        <a:xfrm rot="10800000">
          <a:off x="3757613" y="162644138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874</xdr:row>
      <xdr:rowOff>0</xdr:rowOff>
    </xdr:from>
    <xdr:to>
      <xdr:col>11</xdr:col>
      <xdr:colOff>82235</xdr:colOff>
      <xdr:row>874</xdr:row>
      <xdr:rowOff>114300</xdr:rowOff>
    </xdr:to>
    <xdr:sp macro="" textlink="">
      <xdr:nvSpPr>
        <xdr:cNvPr id="6801" name="Arrow: Down 6800">
          <a:extLst>
            <a:ext uri="{FF2B5EF4-FFF2-40B4-BE49-F238E27FC236}">
              <a16:creationId xmlns:a16="http://schemas.microsoft.com/office/drawing/2014/main" id="{2C649B92-7D8A-43B5-AE61-E7E2F31BEDC4}"/>
            </a:ext>
          </a:extLst>
        </xdr:cNvPr>
        <xdr:cNvSpPr/>
      </xdr:nvSpPr>
      <xdr:spPr>
        <a:xfrm rot="10800000">
          <a:off x="3757613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873</xdr:row>
      <xdr:rowOff>0</xdr:rowOff>
    </xdr:from>
    <xdr:to>
      <xdr:col>11</xdr:col>
      <xdr:colOff>82235</xdr:colOff>
      <xdr:row>873</xdr:row>
      <xdr:rowOff>114300</xdr:rowOff>
    </xdr:to>
    <xdr:sp macro="" textlink="">
      <xdr:nvSpPr>
        <xdr:cNvPr id="6802" name="Arrow: Down 6801">
          <a:extLst>
            <a:ext uri="{FF2B5EF4-FFF2-40B4-BE49-F238E27FC236}">
              <a16:creationId xmlns:a16="http://schemas.microsoft.com/office/drawing/2014/main" id="{EC018018-8DF8-4226-A5C4-B71061E57786}"/>
            </a:ext>
          </a:extLst>
        </xdr:cNvPr>
        <xdr:cNvSpPr/>
      </xdr:nvSpPr>
      <xdr:spPr>
        <a:xfrm rot="10800000">
          <a:off x="3757613" y="16227266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877</xdr:row>
      <xdr:rowOff>0</xdr:rowOff>
    </xdr:from>
    <xdr:to>
      <xdr:col>24</xdr:col>
      <xdr:colOff>80647</xdr:colOff>
      <xdr:row>877</xdr:row>
      <xdr:rowOff>114300</xdr:rowOff>
    </xdr:to>
    <xdr:sp macro="" textlink="">
      <xdr:nvSpPr>
        <xdr:cNvPr id="6803" name="Arrow: Down 6802">
          <a:extLst>
            <a:ext uri="{FF2B5EF4-FFF2-40B4-BE49-F238E27FC236}">
              <a16:creationId xmlns:a16="http://schemas.microsoft.com/office/drawing/2014/main" id="{E97F9E7E-0234-46C1-A246-CE5E99CACF31}"/>
            </a:ext>
          </a:extLst>
        </xdr:cNvPr>
        <xdr:cNvSpPr/>
      </xdr:nvSpPr>
      <xdr:spPr>
        <a:xfrm rot="10800000">
          <a:off x="8486775" y="16301561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875</xdr:row>
      <xdr:rowOff>0</xdr:rowOff>
    </xdr:from>
    <xdr:to>
      <xdr:col>24</xdr:col>
      <xdr:colOff>80647</xdr:colOff>
      <xdr:row>875</xdr:row>
      <xdr:rowOff>114300</xdr:rowOff>
    </xdr:to>
    <xdr:sp macro="" textlink="">
      <xdr:nvSpPr>
        <xdr:cNvPr id="6805" name="Arrow: Down 6804">
          <a:extLst>
            <a:ext uri="{FF2B5EF4-FFF2-40B4-BE49-F238E27FC236}">
              <a16:creationId xmlns:a16="http://schemas.microsoft.com/office/drawing/2014/main" id="{539189A2-A106-4083-9C8F-1A772E946053}"/>
            </a:ext>
          </a:extLst>
        </xdr:cNvPr>
        <xdr:cNvSpPr/>
      </xdr:nvSpPr>
      <xdr:spPr>
        <a:xfrm rot="10800000">
          <a:off x="8486775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874</xdr:row>
      <xdr:rowOff>0</xdr:rowOff>
    </xdr:from>
    <xdr:to>
      <xdr:col>24</xdr:col>
      <xdr:colOff>80647</xdr:colOff>
      <xdr:row>874</xdr:row>
      <xdr:rowOff>114300</xdr:rowOff>
    </xdr:to>
    <xdr:sp macro="" textlink="">
      <xdr:nvSpPr>
        <xdr:cNvPr id="6806" name="Arrow: Down 6805">
          <a:extLst>
            <a:ext uri="{FF2B5EF4-FFF2-40B4-BE49-F238E27FC236}">
              <a16:creationId xmlns:a16="http://schemas.microsoft.com/office/drawing/2014/main" id="{EF352129-45F0-44FF-A194-F95ADE591B90}"/>
            </a:ext>
          </a:extLst>
        </xdr:cNvPr>
        <xdr:cNvSpPr/>
      </xdr:nvSpPr>
      <xdr:spPr>
        <a:xfrm rot="10800000">
          <a:off x="8486775" y="162458400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873</xdr:row>
      <xdr:rowOff>0</xdr:rowOff>
    </xdr:from>
    <xdr:to>
      <xdr:col>24</xdr:col>
      <xdr:colOff>80647</xdr:colOff>
      <xdr:row>873</xdr:row>
      <xdr:rowOff>114300</xdr:rowOff>
    </xdr:to>
    <xdr:sp macro="" textlink="">
      <xdr:nvSpPr>
        <xdr:cNvPr id="6807" name="Arrow: Down 6806">
          <a:extLst>
            <a:ext uri="{FF2B5EF4-FFF2-40B4-BE49-F238E27FC236}">
              <a16:creationId xmlns:a16="http://schemas.microsoft.com/office/drawing/2014/main" id="{9DC021AD-E203-48A1-B3A1-8027B2AACF42}"/>
            </a:ext>
          </a:extLst>
        </xdr:cNvPr>
        <xdr:cNvSpPr/>
      </xdr:nvSpPr>
      <xdr:spPr>
        <a:xfrm rot="10800000">
          <a:off x="8486775" y="16227266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880</xdr:row>
      <xdr:rowOff>0</xdr:rowOff>
    </xdr:from>
    <xdr:to>
      <xdr:col>64</xdr:col>
      <xdr:colOff>83820</xdr:colOff>
      <xdr:row>880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DDD5EA35-B01A-4371-BEE1-8383E199C6D3}"/>
            </a:ext>
          </a:extLst>
        </xdr:cNvPr>
        <xdr:cNvSpPr/>
      </xdr:nvSpPr>
      <xdr:spPr>
        <a:xfrm rot="10800000">
          <a:off x="20173950" y="1591818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880</xdr:row>
      <xdr:rowOff>0</xdr:rowOff>
    </xdr:from>
    <xdr:to>
      <xdr:col>24</xdr:col>
      <xdr:colOff>83820</xdr:colOff>
      <xdr:row>880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469EF4E7-DA31-4BBE-89B9-0404DA9EF5D6}"/>
            </a:ext>
          </a:extLst>
        </xdr:cNvPr>
        <xdr:cNvSpPr/>
      </xdr:nvSpPr>
      <xdr:spPr>
        <a:xfrm>
          <a:off x="8662988" y="1591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880</xdr:row>
      <xdr:rowOff>0</xdr:rowOff>
    </xdr:from>
    <xdr:to>
      <xdr:col>45</xdr:col>
      <xdr:colOff>83820</xdr:colOff>
      <xdr:row>880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76B197A3-CDBB-4B61-8988-A9BB1A542761}"/>
            </a:ext>
          </a:extLst>
        </xdr:cNvPr>
        <xdr:cNvSpPr/>
      </xdr:nvSpPr>
      <xdr:spPr>
        <a:xfrm rot="10800000">
          <a:off x="13930313" y="1591818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880</xdr:row>
      <xdr:rowOff>0</xdr:rowOff>
    </xdr:from>
    <xdr:to>
      <xdr:col>71</xdr:col>
      <xdr:colOff>83820</xdr:colOff>
      <xdr:row>880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3221CE27-12AD-4D8E-A123-7557F8E60716}"/>
            </a:ext>
          </a:extLst>
        </xdr:cNvPr>
        <xdr:cNvSpPr/>
      </xdr:nvSpPr>
      <xdr:spPr>
        <a:xfrm rot="10800000">
          <a:off x="22888575" y="15918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880</xdr:row>
      <xdr:rowOff>0</xdr:rowOff>
    </xdr:from>
    <xdr:to>
      <xdr:col>60</xdr:col>
      <xdr:colOff>82234</xdr:colOff>
      <xdr:row>880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E48C218F-FFD5-46E1-846D-56E7FD103B0B}"/>
            </a:ext>
          </a:extLst>
        </xdr:cNvPr>
        <xdr:cNvSpPr/>
      </xdr:nvSpPr>
      <xdr:spPr>
        <a:xfrm rot="10800000">
          <a:off x="19897725" y="1591818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881</xdr:row>
      <xdr:rowOff>0</xdr:rowOff>
    </xdr:from>
    <xdr:to>
      <xdr:col>64</xdr:col>
      <xdr:colOff>83820</xdr:colOff>
      <xdr:row>881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946A8B59-AB24-497C-BA66-FB6DE5D3F357}"/>
            </a:ext>
          </a:extLst>
        </xdr:cNvPr>
        <xdr:cNvSpPr/>
      </xdr:nvSpPr>
      <xdr:spPr>
        <a:xfrm rot="10800000">
          <a:off x="20173950" y="1593627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881</xdr:row>
      <xdr:rowOff>0</xdr:rowOff>
    </xdr:from>
    <xdr:to>
      <xdr:col>71</xdr:col>
      <xdr:colOff>83820</xdr:colOff>
      <xdr:row>881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CBEE7F7F-E365-41BB-BCFF-FED406F6BA89}"/>
            </a:ext>
          </a:extLst>
        </xdr:cNvPr>
        <xdr:cNvSpPr/>
      </xdr:nvSpPr>
      <xdr:spPr>
        <a:xfrm rot="10800000">
          <a:off x="22888575" y="1593627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881</xdr:row>
      <xdr:rowOff>0</xdr:rowOff>
    </xdr:from>
    <xdr:to>
      <xdr:col>39</xdr:col>
      <xdr:colOff>82233</xdr:colOff>
      <xdr:row>881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8AF0DE36-7281-47D8-B9DA-B3976ABF3B0D}"/>
            </a:ext>
          </a:extLst>
        </xdr:cNvPr>
        <xdr:cNvSpPr/>
      </xdr:nvSpPr>
      <xdr:spPr>
        <a:xfrm>
          <a:off x="11996738" y="1593627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881</xdr:row>
      <xdr:rowOff>0</xdr:rowOff>
    </xdr:from>
    <xdr:to>
      <xdr:col>60</xdr:col>
      <xdr:colOff>82234</xdr:colOff>
      <xdr:row>881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D40C05E-709B-4B29-AA10-477A064CF786}"/>
            </a:ext>
          </a:extLst>
        </xdr:cNvPr>
        <xdr:cNvSpPr/>
      </xdr:nvSpPr>
      <xdr:spPr>
        <a:xfrm rot="10800000">
          <a:off x="19897725" y="1593627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882</xdr:row>
      <xdr:rowOff>0</xdr:rowOff>
    </xdr:from>
    <xdr:to>
      <xdr:col>64</xdr:col>
      <xdr:colOff>83820</xdr:colOff>
      <xdr:row>882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18C0D053-4DA1-460C-A29F-EBA2B444F4C5}"/>
            </a:ext>
          </a:extLst>
        </xdr:cNvPr>
        <xdr:cNvSpPr/>
      </xdr:nvSpPr>
      <xdr:spPr>
        <a:xfrm rot="10800000">
          <a:off x="20173950" y="1595437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882</xdr:row>
      <xdr:rowOff>0</xdr:rowOff>
    </xdr:from>
    <xdr:to>
      <xdr:col>45</xdr:col>
      <xdr:colOff>83820</xdr:colOff>
      <xdr:row>882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B791FF78-57AE-46D0-A547-0ABD744F6932}"/>
            </a:ext>
          </a:extLst>
        </xdr:cNvPr>
        <xdr:cNvSpPr/>
      </xdr:nvSpPr>
      <xdr:spPr>
        <a:xfrm rot="10800000">
          <a:off x="13930313" y="1595437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882</xdr:row>
      <xdr:rowOff>0</xdr:rowOff>
    </xdr:from>
    <xdr:to>
      <xdr:col>71</xdr:col>
      <xdr:colOff>83820</xdr:colOff>
      <xdr:row>882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F9D179DD-D938-480C-8923-30A3909CF486}"/>
            </a:ext>
          </a:extLst>
        </xdr:cNvPr>
        <xdr:cNvSpPr/>
      </xdr:nvSpPr>
      <xdr:spPr>
        <a:xfrm rot="10800000">
          <a:off x="22888575" y="1595437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883</xdr:row>
      <xdr:rowOff>0</xdr:rowOff>
    </xdr:from>
    <xdr:to>
      <xdr:col>64</xdr:col>
      <xdr:colOff>83820</xdr:colOff>
      <xdr:row>883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1C313649-79C2-4E4A-BB36-7958186A76D6}"/>
            </a:ext>
          </a:extLst>
        </xdr:cNvPr>
        <xdr:cNvSpPr/>
      </xdr:nvSpPr>
      <xdr:spPr>
        <a:xfrm rot="10800000">
          <a:off x="20173950" y="1597247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883</xdr:row>
      <xdr:rowOff>0</xdr:rowOff>
    </xdr:from>
    <xdr:to>
      <xdr:col>24</xdr:col>
      <xdr:colOff>83820</xdr:colOff>
      <xdr:row>883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D9D63CE0-9BC5-415D-95E8-754F8752C4BA}"/>
            </a:ext>
          </a:extLst>
        </xdr:cNvPr>
        <xdr:cNvSpPr/>
      </xdr:nvSpPr>
      <xdr:spPr>
        <a:xfrm>
          <a:off x="866298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883</xdr:row>
      <xdr:rowOff>0</xdr:rowOff>
    </xdr:from>
    <xdr:to>
      <xdr:col>5</xdr:col>
      <xdr:colOff>83820</xdr:colOff>
      <xdr:row>883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C7533BA0-7073-4C73-8990-D18F054E6EEC}"/>
            </a:ext>
          </a:extLst>
        </xdr:cNvPr>
        <xdr:cNvSpPr/>
      </xdr:nvSpPr>
      <xdr:spPr>
        <a:xfrm>
          <a:off x="2005013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883</xdr:row>
      <xdr:rowOff>0</xdr:rowOff>
    </xdr:from>
    <xdr:to>
      <xdr:col>11</xdr:col>
      <xdr:colOff>83820</xdr:colOff>
      <xdr:row>883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A4A0C9C8-4D93-44C7-8AA7-62B78AFE9929}"/>
            </a:ext>
          </a:extLst>
        </xdr:cNvPr>
        <xdr:cNvSpPr/>
      </xdr:nvSpPr>
      <xdr:spPr>
        <a:xfrm>
          <a:off x="384333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883</xdr:row>
      <xdr:rowOff>0</xdr:rowOff>
    </xdr:from>
    <xdr:to>
      <xdr:col>45</xdr:col>
      <xdr:colOff>83820</xdr:colOff>
      <xdr:row>883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A6DE7535-D3FC-455F-AE8E-2A4A31DB48E0}"/>
            </a:ext>
          </a:extLst>
        </xdr:cNvPr>
        <xdr:cNvSpPr/>
      </xdr:nvSpPr>
      <xdr:spPr>
        <a:xfrm rot="10800000">
          <a:off x="13930313" y="1597247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883</xdr:row>
      <xdr:rowOff>0</xdr:rowOff>
    </xdr:from>
    <xdr:to>
      <xdr:col>71</xdr:col>
      <xdr:colOff>83820</xdr:colOff>
      <xdr:row>883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FB211F4B-4D9A-4BE7-87EF-1E94B80B3B35}"/>
            </a:ext>
          </a:extLst>
        </xdr:cNvPr>
        <xdr:cNvSpPr/>
      </xdr:nvSpPr>
      <xdr:spPr>
        <a:xfrm rot="10800000">
          <a:off x="22888575" y="1597247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883</xdr:row>
      <xdr:rowOff>0</xdr:rowOff>
    </xdr:from>
    <xdr:to>
      <xdr:col>60</xdr:col>
      <xdr:colOff>82234</xdr:colOff>
      <xdr:row>883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0690460C-A724-4544-B4C0-989C560BBBBA}"/>
            </a:ext>
          </a:extLst>
        </xdr:cNvPr>
        <xdr:cNvSpPr/>
      </xdr:nvSpPr>
      <xdr:spPr>
        <a:xfrm rot="10800000">
          <a:off x="19897725" y="159724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884</xdr:row>
      <xdr:rowOff>0</xdr:rowOff>
    </xdr:from>
    <xdr:to>
      <xdr:col>64</xdr:col>
      <xdr:colOff>83820</xdr:colOff>
      <xdr:row>884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408BE6C7-BD22-4004-8672-0BE04F4ED92B}"/>
            </a:ext>
          </a:extLst>
        </xdr:cNvPr>
        <xdr:cNvSpPr/>
      </xdr:nvSpPr>
      <xdr:spPr>
        <a:xfrm rot="10800000">
          <a:off x="20173950" y="15990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884</xdr:row>
      <xdr:rowOff>0</xdr:rowOff>
    </xdr:from>
    <xdr:to>
      <xdr:col>39</xdr:col>
      <xdr:colOff>82233</xdr:colOff>
      <xdr:row>884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C082600F-E765-443B-B44E-6967F4EF82AB}"/>
            </a:ext>
          </a:extLst>
        </xdr:cNvPr>
        <xdr:cNvSpPr/>
      </xdr:nvSpPr>
      <xdr:spPr>
        <a:xfrm>
          <a:off x="11996738" y="1599057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885</xdr:row>
      <xdr:rowOff>0</xdr:rowOff>
    </xdr:from>
    <xdr:to>
      <xdr:col>64</xdr:col>
      <xdr:colOff>83820</xdr:colOff>
      <xdr:row>885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7AF42662-7933-42B2-8D95-1647345BD683}"/>
            </a:ext>
          </a:extLst>
        </xdr:cNvPr>
        <xdr:cNvSpPr/>
      </xdr:nvSpPr>
      <xdr:spPr>
        <a:xfrm rot="10800000">
          <a:off x="20173950" y="1600866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885</xdr:row>
      <xdr:rowOff>0</xdr:rowOff>
    </xdr:from>
    <xdr:to>
      <xdr:col>24</xdr:col>
      <xdr:colOff>83820</xdr:colOff>
      <xdr:row>885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61B688C2-DF75-485F-A36C-2D903975F01C}"/>
            </a:ext>
          </a:extLst>
        </xdr:cNvPr>
        <xdr:cNvSpPr/>
      </xdr:nvSpPr>
      <xdr:spPr>
        <a:xfrm>
          <a:off x="866298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885</xdr:row>
      <xdr:rowOff>0</xdr:rowOff>
    </xdr:from>
    <xdr:to>
      <xdr:col>5</xdr:col>
      <xdr:colOff>83820</xdr:colOff>
      <xdr:row>885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07809DE-B6B4-41B5-B7B0-71CB45A72115}"/>
            </a:ext>
          </a:extLst>
        </xdr:cNvPr>
        <xdr:cNvSpPr/>
      </xdr:nvSpPr>
      <xdr:spPr>
        <a:xfrm>
          <a:off x="2005013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885</xdr:row>
      <xdr:rowOff>0</xdr:rowOff>
    </xdr:from>
    <xdr:to>
      <xdr:col>11</xdr:col>
      <xdr:colOff>83820</xdr:colOff>
      <xdr:row>885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EF9178F8-39B8-4451-A98F-3AD958D4298C}"/>
            </a:ext>
          </a:extLst>
        </xdr:cNvPr>
        <xdr:cNvSpPr/>
      </xdr:nvSpPr>
      <xdr:spPr>
        <a:xfrm>
          <a:off x="384333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885</xdr:row>
      <xdr:rowOff>0</xdr:rowOff>
    </xdr:from>
    <xdr:to>
      <xdr:col>71</xdr:col>
      <xdr:colOff>83820</xdr:colOff>
      <xdr:row>885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149F1A67-6109-42F8-80B4-2005612DBFF0}"/>
            </a:ext>
          </a:extLst>
        </xdr:cNvPr>
        <xdr:cNvSpPr/>
      </xdr:nvSpPr>
      <xdr:spPr>
        <a:xfrm rot="10800000">
          <a:off x="22888575" y="1600866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885</xdr:row>
      <xdr:rowOff>0</xdr:rowOff>
    </xdr:from>
    <xdr:to>
      <xdr:col>39</xdr:col>
      <xdr:colOff>82233</xdr:colOff>
      <xdr:row>885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3B3F5B3B-323D-459D-B482-9E4D4DBC1D98}"/>
            </a:ext>
          </a:extLst>
        </xdr:cNvPr>
        <xdr:cNvSpPr/>
      </xdr:nvSpPr>
      <xdr:spPr>
        <a:xfrm>
          <a:off x="11996738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885</xdr:row>
      <xdr:rowOff>0</xdr:rowOff>
    </xdr:from>
    <xdr:to>
      <xdr:col>60</xdr:col>
      <xdr:colOff>82234</xdr:colOff>
      <xdr:row>885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899C9EDA-5406-4474-8EEE-75B6D18671E7}"/>
            </a:ext>
          </a:extLst>
        </xdr:cNvPr>
        <xdr:cNvSpPr/>
      </xdr:nvSpPr>
      <xdr:spPr>
        <a:xfrm rot="10800000">
          <a:off x="19897725" y="160086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886</xdr:row>
      <xdr:rowOff>0</xdr:rowOff>
    </xdr:from>
    <xdr:to>
      <xdr:col>64</xdr:col>
      <xdr:colOff>83820</xdr:colOff>
      <xdr:row>886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7BD17504-2771-4ADB-84EB-837CB38C0CA7}"/>
            </a:ext>
          </a:extLst>
        </xdr:cNvPr>
        <xdr:cNvSpPr/>
      </xdr:nvSpPr>
      <xdr:spPr>
        <a:xfrm rot="10800000">
          <a:off x="20173950" y="160267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886</xdr:row>
      <xdr:rowOff>0</xdr:rowOff>
    </xdr:from>
    <xdr:to>
      <xdr:col>24</xdr:col>
      <xdr:colOff>83820</xdr:colOff>
      <xdr:row>886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E0A3C1D1-9C11-4FD0-A9D6-1592526ECBCD}"/>
            </a:ext>
          </a:extLst>
        </xdr:cNvPr>
        <xdr:cNvSpPr/>
      </xdr:nvSpPr>
      <xdr:spPr>
        <a:xfrm>
          <a:off x="866298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886</xdr:row>
      <xdr:rowOff>0</xdr:rowOff>
    </xdr:from>
    <xdr:to>
      <xdr:col>5</xdr:col>
      <xdr:colOff>83820</xdr:colOff>
      <xdr:row>886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DC72158E-8C0F-44EB-B6FF-C8ACDD820140}"/>
            </a:ext>
          </a:extLst>
        </xdr:cNvPr>
        <xdr:cNvSpPr/>
      </xdr:nvSpPr>
      <xdr:spPr>
        <a:xfrm>
          <a:off x="2005013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886</xdr:row>
      <xdr:rowOff>0</xdr:rowOff>
    </xdr:from>
    <xdr:to>
      <xdr:col>11</xdr:col>
      <xdr:colOff>83820</xdr:colOff>
      <xdr:row>886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4A129E26-251B-4C5A-AE12-5AF3333A0CD8}"/>
            </a:ext>
          </a:extLst>
        </xdr:cNvPr>
        <xdr:cNvSpPr/>
      </xdr:nvSpPr>
      <xdr:spPr>
        <a:xfrm>
          <a:off x="384333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886</xdr:row>
      <xdr:rowOff>0</xdr:rowOff>
    </xdr:from>
    <xdr:to>
      <xdr:col>71</xdr:col>
      <xdr:colOff>83820</xdr:colOff>
      <xdr:row>886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F80930E-4765-490B-AE02-9122CDDD35B7}"/>
            </a:ext>
          </a:extLst>
        </xdr:cNvPr>
        <xdr:cNvSpPr/>
      </xdr:nvSpPr>
      <xdr:spPr>
        <a:xfrm rot="10800000">
          <a:off x="22888575" y="1602676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886</xdr:row>
      <xdr:rowOff>0</xdr:rowOff>
    </xdr:from>
    <xdr:to>
      <xdr:col>39</xdr:col>
      <xdr:colOff>82233</xdr:colOff>
      <xdr:row>886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F1DFD182-C7CA-46D8-AD10-29A8B84BA920}"/>
            </a:ext>
          </a:extLst>
        </xdr:cNvPr>
        <xdr:cNvSpPr/>
      </xdr:nvSpPr>
      <xdr:spPr>
        <a:xfrm>
          <a:off x="11996738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886</xdr:row>
      <xdr:rowOff>0</xdr:rowOff>
    </xdr:from>
    <xdr:to>
      <xdr:col>60</xdr:col>
      <xdr:colOff>82234</xdr:colOff>
      <xdr:row>886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49951B15-21DE-4731-9D17-6CA03E1449DC}"/>
            </a:ext>
          </a:extLst>
        </xdr:cNvPr>
        <xdr:cNvSpPr/>
      </xdr:nvSpPr>
      <xdr:spPr>
        <a:xfrm rot="10800000">
          <a:off x="19897725" y="160267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887</xdr:row>
      <xdr:rowOff>0</xdr:rowOff>
    </xdr:from>
    <xdr:to>
      <xdr:col>64</xdr:col>
      <xdr:colOff>83820</xdr:colOff>
      <xdr:row>887</xdr:row>
      <xdr:rowOff>114300</xdr:rowOff>
    </xdr:to>
    <xdr:sp macro="" textlink="">
      <xdr:nvSpPr>
        <xdr:cNvPr id="1040" name="Arrow: Down 1039">
          <a:extLst>
            <a:ext uri="{FF2B5EF4-FFF2-40B4-BE49-F238E27FC236}">
              <a16:creationId xmlns:a16="http://schemas.microsoft.com/office/drawing/2014/main" id="{3EAC5632-6A0E-4727-839C-A7D9A0103466}"/>
            </a:ext>
          </a:extLst>
        </xdr:cNvPr>
        <xdr:cNvSpPr/>
      </xdr:nvSpPr>
      <xdr:spPr>
        <a:xfrm rot="10800000">
          <a:off x="20173950" y="1604486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887</xdr:row>
      <xdr:rowOff>0</xdr:rowOff>
    </xdr:from>
    <xdr:to>
      <xdr:col>45</xdr:col>
      <xdr:colOff>83820</xdr:colOff>
      <xdr:row>887</xdr:row>
      <xdr:rowOff>114300</xdr:rowOff>
    </xdr:to>
    <xdr:sp macro="" textlink="">
      <xdr:nvSpPr>
        <xdr:cNvPr id="1145" name="Arrow: Down 1144">
          <a:extLst>
            <a:ext uri="{FF2B5EF4-FFF2-40B4-BE49-F238E27FC236}">
              <a16:creationId xmlns:a16="http://schemas.microsoft.com/office/drawing/2014/main" id="{0A190273-1276-4A3A-9F2D-BFF966C6DAFE}"/>
            </a:ext>
          </a:extLst>
        </xdr:cNvPr>
        <xdr:cNvSpPr/>
      </xdr:nvSpPr>
      <xdr:spPr>
        <a:xfrm rot="10800000">
          <a:off x="13930313" y="1604486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888</xdr:row>
      <xdr:rowOff>0</xdr:rowOff>
    </xdr:from>
    <xdr:to>
      <xdr:col>64</xdr:col>
      <xdr:colOff>83820</xdr:colOff>
      <xdr:row>888</xdr:row>
      <xdr:rowOff>114300</xdr:rowOff>
    </xdr:to>
    <xdr:sp macro="" textlink="">
      <xdr:nvSpPr>
        <xdr:cNvPr id="1161" name="Arrow: Down 1160">
          <a:extLst>
            <a:ext uri="{FF2B5EF4-FFF2-40B4-BE49-F238E27FC236}">
              <a16:creationId xmlns:a16="http://schemas.microsoft.com/office/drawing/2014/main" id="{C2A279D0-6B70-4C77-8D33-EDF2A993696D}"/>
            </a:ext>
          </a:extLst>
        </xdr:cNvPr>
        <xdr:cNvSpPr/>
      </xdr:nvSpPr>
      <xdr:spPr>
        <a:xfrm rot="10800000">
          <a:off x="20173950" y="160629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888</xdr:row>
      <xdr:rowOff>0</xdr:rowOff>
    </xdr:from>
    <xdr:to>
      <xdr:col>71</xdr:col>
      <xdr:colOff>83820</xdr:colOff>
      <xdr:row>888</xdr:row>
      <xdr:rowOff>114300</xdr:rowOff>
    </xdr:to>
    <xdr:sp macro="" textlink="">
      <xdr:nvSpPr>
        <xdr:cNvPr id="1192" name="Arrow: Down 1191">
          <a:extLst>
            <a:ext uri="{FF2B5EF4-FFF2-40B4-BE49-F238E27FC236}">
              <a16:creationId xmlns:a16="http://schemas.microsoft.com/office/drawing/2014/main" id="{59C494F8-50FC-4DD4-AB2D-BCDA16FB2A12}"/>
            </a:ext>
          </a:extLst>
        </xdr:cNvPr>
        <xdr:cNvSpPr/>
      </xdr:nvSpPr>
      <xdr:spPr>
        <a:xfrm rot="10800000">
          <a:off x="22888575" y="160629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888</xdr:row>
      <xdr:rowOff>0</xdr:rowOff>
    </xdr:from>
    <xdr:to>
      <xdr:col>39</xdr:col>
      <xdr:colOff>82233</xdr:colOff>
      <xdr:row>888</xdr:row>
      <xdr:rowOff>114300</xdr:rowOff>
    </xdr:to>
    <xdr:sp macro="" textlink="">
      <xdr:nvSpPr>
        <xdr:cNvPr id="1195" name="Arrow: Down 1194">
          <a:extLst>
            <a:ext uri="{FF2B5EF4-FFF2-40B4-BE49-F238E27FC236}">
              <a16:creationId xmlns:a16="http://schemas.microsoft.com/office/drawing/2014/main" id="{34C63E01-005A-4475-A476-F82CC7425667}"/>
            </a:ext>
          </a:extLst>
        </xdr:cNvPr>
        <xdr:cNvSpPr/>
      </xdr:nvSpPr>
      <xdr:spPr>
        <a:xfrm>
          <a:off x="11996738" y="160629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888</xdr:row>
      <xdr:rowOff>0</xdr:rowOff>
    </xdr:from>
    <xdr:to>
      <xdr:col>60</xdr:col>
      <xdr:colOff>82234</xdr:colOff>
      <xdr:row>888</xdr:row>
      <xdr:rowOff>114300</xdr:rowOff>
    </xdr:to>
    <xdr:sp macro="" textlink="">
      <xdr:nvSpPr>
        <xdr:cNvPr id="1200" name="Arrow: Down 1199">
          <a:extLst>
            <a:ext uri="{FF2B5EF4-FFF2-40B4-BE49-F238E27FC236}">
              <a16:creationId xmlns:a16="http://schemas.microsoft.com/office/drawing/2014/main" id="{CB07320A-C871-4548-89CD-B7120C966D70}"/>
            </a:ext>
          </a:extLst>
        </xdr:cNvPr>
        <xdr:cNvSpPr/>
      </xdr:nvSpPr>
      <xdr:spPr>
        <a:xfrm rot="10800000">
          <a:off x="19897725" y="1606296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889</xdr:row>
      <xdr:rowOff>0</xdr:rowOff>
    </xdr:from>
    <xdr:to>
      <xdr:col>64</xdr:col>
      <xdr:colOff>83820</xdr:colOff>
      <xdr:row>889</xdr:row>
      <xdr:rowOff>114300</xdr:rowOff>
    </xdr:to>
    <xdr:sp macro="" textlink="">
      <xdr:nvSpPr>
        <xdr:cNvPr id="1247" name="Arrow: Down 1246">
          <a:extLst>
            <a:ext uri="{FF2B5EF4-FFF2-40B4-BE49-F238E27FC236}">
              <a16:creationId xmlns:a16="http://schemas.microsoft.com/office/drawing/2014/main" id="{38A99EDA-F73D-4161-956B-F73D075025CB}"/>
            </a:ext>
          </a:extLst>
        </xdr:cNvPr>
        <xdr:cNvSpPr/>
      </xdr:nvSpPr>
      <xdr:spPr>
        <a:xfrm rot="10800000">
          <a:off x="20173950" y="1608105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889</xdr:row>
      <xdr:rowOff>0</xdr:rowOff>
    </xdr:from>
    <xdr:to>
      <xdr:col>5</xdr:col>
      <xdr:colOff>83820</xdr:colOff>
      <xdr:row>889</xdr:row>
      <xdr:rowOff>114300</xdr:rowOff>
    </xdr:to>
    <xdr:sp macro="" textlink="">
      <xdr:nvSpPr>
        <xdr:cNvPr id="1251" name="Arrow: Down 1250">
          <a:extLst>
            <a:ext uri="{FF2B5EF4-FFF2-40B4-BE49-F238E27FC236}">
              <a16:creationId xmlns:a16="http://schemas.microsoft.com/office/drawing/2014/main" id="{45C432B0-40FA-4944-A683-3B74A81B01D7}"/>
            </a:ext>
          </a:extLst>
        </xdr:cNvPr>
        <xdr:cNvSpPr/>
      </xdr:nvSpPr>
      <xdr:spPr>
        <a:xfrm>
          <a:off x="2005013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889</xdr:row>
      <xdr:rowOff>0</xdr:rowOff>
    </xdr:from>
    <xdr:to>
      <xdr:col>11</xdr:col>
      <xdr:colOff>83820</xdr:colOff>
      <xdr:row>889</xdr:row>
      <xdr:rowOff>114300</xdr:rowOff>
    </xdr:to>
    <xdr:sp macro="" textlink="">
      <xdr:nvSpPr>
        <xdr:cNvPr id="1253" name="Arrow: Down 1252">
          <a:extLst>
            <a:ext uri="{FF2B5EF4-FFF2-40B4-BE49-F238E27FC236}">
              <a16:creationId xmlns:a16="http://schemas.microsoft.com/office/drawing/2014/main" id="{94E81973-DEB3-46DC-AEA9-3F49895DAC6B}"/>
            </a:ext>
          </a:extLst>
        </xdr:cNvPr>
        <xdr:cNvSpPr/>
      </xdr:nvSpPr>
      <xdr:spPr>
        <a:xfrm>
          <a:off x="3843338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889</xdr:row>
      <xdr:rowOff>0</xdr:rowOff>
    </xdr:from>
    <xdr:to>
      <xdr:col>45</xdr:col>
      <xdr:colOff>83820</xdr:colOff>
      <xdr:row>889</xdr:row>
      <xdr:rowOff>114300</xdr:rowOff>
    </xdr:to>
    <xdr:sp macro="" textlink="">
      <xdr:nvSpPr>
        <xdr:cNvPr id="1255" name="Arrow: Down 1254">
          <a:extLst>
            <a:ext uri="{FF2B5EF4-FFF2-40B4-BE49-F238E27FC236}">
              <a16:creationId xmlns:a16="http://schemas.microsoft.com/office/drawing/2014/main" id="{B1CA7D7A-91AE-46F3-88AC-77B6D852A99E}"/>
            </a:ext>
          </a:extLst>
        </xdr:cNvPr>
        <xdr:cNvSpPr/>
      </xdr:nvSpPr>
      <xdr:spPr>
        <a:xfrm rot="10800000">
          <a:off x="13930313" y="1608105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889</xdr:row>
      <xdr:rowOff>0</xdr:rowOff>
    </xdr:from>
    <xdr:to>
      <xdr:col>71</xdr:col>
      <xdr:colOff>83820</xdr:colOff>
      <xdr:row>889</xdr:row>
      <xdr:rowOff>114300</xdr:rowOff>
    </xdr:to>
    <xdr:sp macro="" textlink="">
      <xdr:nvSpPr>
        <xdr:cNvPr id="1264" name="Arrow: Down 1263">
          <a:extLst>
            <a:ext uri="{FF2B5EF4-FFF2-40B4-BE49-F238E27FC236}">
              <a16:creationId xmlns:a16="http://schemas.microsoft.com/office/drawing/2014/main" id="{67E00577-4840-4F0F-9DED-57F7CF100006}"/>
            </a:ext>
          </a:extLst>
        </xdr:cNvPr>
        <xdr:cNvSpPr/>
      </xdr:nvSpPr>
      <xdr:spPr>
        <a:xfrm rot="10800000">
          <a:off x="22888575" y="1608105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890</xdr:row>
      <xdr:rowOff>0</xdr:rowOff>
    </xdr:from>
    <xdr:to>
      <xdr:col>64</xdr:col>
      <xdr:colOff>83820</xdr:colOff>
      <xdr:row>890</xdr:row>
      <xdr:rowOff>114300</xdr:rowOff>
    </xdr:to>
    <xdr:sp macro="" textlink="">
      <xdr:nvSpPr>
        <xdr:cNvPr id="1399" name="Arrow: Down 1398">
          <a:extLst>
            <a:ext uri="{FF2B5EF4-FFF2-40B4-BE49-F238E27FC236}">
              <a16:creationId xmlns:a16="http://schemas.microsoft.com/office/drawing/2014/main" id="{D452A5A5-B633-4E0F-B1A6-9B01E0173730}"/>
            </a:ext>
          </a:extLst>
        </xdr:cNvPr>
        <xdr:cNvSpPr/>
      </xdr:nvSpPr>
      <xdr:spPr>
        <a:xfrm rot="10800000">
          <a:off x="20173950" y="160991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890</xdr:row>
      <xdr:rowOff>0</xdr:rowOff>
    </xdr:from>
    <xdr:to>
      <xdr:col>24</xdr:col>
      <xdr:colOff>83820</xdr:colOff>
      <xdr:row>890</xdr:row>
      <xdr:rowOff>114300</xdr:rowOff>
    </xdr:to>
    <xdr:sp macro="" textlink="">
      <xdr:nvSpPr>
        <xdr:cNvPr id="1401" name="Arrow: Down 1400">
          <a:extLst>
            <a:ext uri="{FF2B5EF4-FFF2-40B4-BE49-F238E27FC236}">
              <a16:creationId xmlns:a16="http://schemas.microsoft.com/office/drawing/2014/main" id="{DA3B2679-A1A3-4958-833E-4FB29BFCFD69}"/>
            </a:ext>
          </a:extLst>
        </xdr:cNvPr>
        <xdr:cNvSpPr/>
      </xdr:nvSpPr>
      <xdr:spPr>
        <a:xfrm>
          <a:off x="866298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83820</xdr:colOff>
      <xdr:row>890</xdr:row>
      <xdr:rowOff>114300</xdr:rowOff>
    </xdr:to>
    <xdr:sp macro="" textlink="">
      <xdr:nvSpPr>
        <xdr:cNvPr id="1402" name="Arrow: Down 1401">
          <a:extLst>
            <a:ext uri="{FF2B5EF4-FFF2-40B4-BE49-F238E27FC236}">
              <a16:creationId xmlns:a16="http://schemas.microsoft.com/office/drawing/2014/main" id="{AF3B7BCC-01A2-4EA4-BCDA-ABAD12E8AFD7}"/>
            </a:ext>
          </a:extLst>
        </xdr:cNvPr>
        <xdr:cNvSpPr/>
      </xdr:nvSpPr>
      <xdr:spPr>
        <a:xfrm>
          <a:off x="2005013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890</xdr:row>
      <xdr:rowOff>0</xdr:rowOff>
    </xdr:from>
    <xdr:to>
      <xdr:col>11</xdr:col>
      <xdr:colOff>83820</xdr:colOff>
      <xdr:row>890</xdr:row>
      <xdr:rowOff>114300</xdr:rowOff>
    </xdr:to>
    <xdr:sp macro="" textlink="">
      <xdr:nvSpPr>
        <xdr:cNvPr id="1410" name="Arrow: Down 1409">
          <a:extLst>
            <a:ext uri="{FF2B5EF4-FFF2-40B4-BE49-F238E27FC236}">
              <a16:creationId xmlns:a16="http://schemas.microsoft.com/office/drawing/2014/main" id="{ECF24691-3F78-47FF-865A-CC009CFFADBA}"/>
            </a:ext>
          </a:extLst>
        </xdr:cNvPr>
        <xdr:cNvSpPr/>
      </xdr:nvSpPr>
      <xdr:spPr>
        <a:xfrm>
          <a:off x="384333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890</xdr:row>
      <xdr:rowOff>0</xdr:rowOff>
    </xdr:from>
    <xdr:to>
      <xdr:col>45</xdr:col>
      <xdr:colOff>83820</xdr:colOff>
      <xdr:row>890</xdr:row>
      <xdr:rowOff>114300</xdr:rowOff>
    </xdr:to>
    <xdr:sp macro="" textlink="">
      <xdr:nvSpPr>
        <xdr:cNvPr id="1413" name="Arrow: Down 1412">
          <a:extLst>
            <a:ext uri="{FF2B5EF4-FFF2-40B4-BE49-F238E27FC236}">
              <a16:creationId xmlns:a16="http://schemas.microsoft.com/office/drawing/2014/main" id="{8675A5A2-9091-48F4-B405-35C35CDE0B45}"/>
            </a:ext>
          </a:extLst>
        </xdr:cNvPr>
        <xdr:cNvSpPr/>
      </xdr:nvSpPr>
      <xdr:spPr>
        <a:xfrm rot="10800000">
          <a:off x="13930313" y="1609915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890</xdr:row>
      <xdr:rowOff>0</xdr:rowOff>
    </xdr:from>
    <xdr:to>
      <xdr:col>71</xdr:col>
      <xdr:colOff>83820</xdr:colOff>
      <xdr:row>890</xdr:row>
      <xdr:rowOff>114300</xdr:rowOff>
    </xdr:to>
    <xdr:sp macro="" textlink="">
      <xdr:nvSpPr>
        <xdr:cNvPr id="1428" name="Arrow: Down 1427">
          <a:extLst>
            <a:ext uri="{FF2B5EF4-FFF2-40B4-BE49-F238E27FC236}">
              <a16:creationId xmlns:a16="http://schemas.microsoft.com/office/drawing/2014/main" id="{5E4C053D-15C7-4D27-AF62-8AB4B1729A12}"/>
            </a:ext>
          </a:extLst>
        </xdr:cNvPr>
        <xdr:cNvSpPr/>
      </xdr:nvSpPr>
      <xdr:spPr>
        <a:xfrm rot="10800000">
          <a:off x="22888575" y="1609915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890</xdr:row>
      <xdr:rowOff>0</xdr:rowOff>
    </xdr:from>
    <xdr:to>
      <xdr:col>60</xdr:col>
      <xdr:colOff>82234</xdr:colOff>
      <xdr:row>890</xdr:row>
      <xdr:rowOff>114300</xdr:rowOff>
    </xdr:to>
    <xdr:sp macro="" textlink="">
      <xdr:nvSpPr>
        <xdr:cNvPr id="1681" name="Arrow: Down 1680">
          <a:extLst>
            <a:ext uri="{FF2B5EF4-FFF2-40B4-BE49-F238E27FC236}">
              <a16:creationId xmlns:a16="http://schemas.microsoft.com/office/drawing/2014/main" id="{7A2E1760-68A3-4E75-A3C2-187F81E77FD9}"/>
            </a:ext>
          </a:extLst>
        </xdr:cNvPr>
        <xdr:cNvSpPr/>
      </xdr:nvSpPr>
      <xdr:spPr>
        <a:xfrm rot="10800000">
          <a:off x="19897725" y="160991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891</xdr:row>
      <xdr:rowOff>0</xdr:rowOff>
    </xdr:from>
    <xdr:to>
      <xdr:col>64</xdr:col>
      <xdr:colOff>83820</xdr:colOff>
      <xdr:row>891</xdr:row>
      <xdr:rowOff>114300</xdr:rowOff>
    </xdr:to>
    <xdr:sp macro="" textlink="">
      <xdr:nvSpPr>
        <xdr:cNvPr id="1692" name="Arrow: Down 1691">
          <a:extLst>
            <a:ext uri="{FF2B5EF4-FFF2-40B4-BE49-F238E27FC236}">
              <a16:creationId xmlns:a16="http://schemas.microsoft.com/office/drawing/2014/main" id="{E2D188FB-EE90-4DE0-AB9E-A9C5A9F71C40}"/>
            </a:ext>
          </a:extLst>
        </xdr:cNvPr>
        <xdr:cNvSpPr/>
      </xdr:nvSpPr>
      <xdr:spPr>
        <a:xfrm rot="10800000">
          <a:off x="20173950" y="1611725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891</xdr:row>
      <xdr:rowOff>0</xdr:rowOff>
    </xdr:from>
    <xdr:to>
      <xdr:col>39</xdr:col>
      <xdr:colOff>82233</xdr:colOff>
      <xdr:row>891</xdr:row>
      <xdr:rowOff>114300</xdr:rowOff>
    </xdr:to>
    <xdr:sp macro="" textlink="">
      <xdr:nvSpPr>
        <xdr:cNvPr id="1909" name="Arrow: Down 1908">
          <a:extLst>
            <a:ext uri="{FF2B5EF4-FFF2-40B4-BE49-F238E27FC236}">
              <a16:creationId xmlns:a16="http://schemas.microsoft.com/office/drawing/2014/main" id="{FA8234D1-4E26-4E9C-AFF8-090C01E391A1}"/>
            </a:ext>
          </a:extLst>
        </xdr:cNvPr>
        <xdr:cNvSpPr/>
      </xdr:nvSpPr>
      <xdr:spPr>
        <a:xfrm>
          <a:off x="11996738" y="1611725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892</xdr:row>
      <xdr:rowOff>0</xdr:rowOff>
    </xdr:from>
    <xdr:to>
      <xdr:col>64</xdr:col>
      <xdr:colOff>83820</xdr:colOff>
      <xdr:row>892</xdr:row>
      <xdr:rowOff>114300</xdr:rowOff>
    </xdr:to>
    <xdr:sp macro="" textlink="">
      <xdr:nvSpPr>
        <xdr:cNvPr id="2071" name="Arrow: Down 2070">
          <a:extLst>
            <a:ext uri="{FF2B5EF4-FFF2-40B4-BE49-F238E27FC236}">
              <a16:creationId xmlns:a16="http://schemas.microsoft.com/office/drawing/2014/main" id="{9C2AE7F4-29F2-4C84-AD86-A5A1E327E3E8}"/>
            </a:ext>
          </a:extLst>
        </xdr:cNvPr>
        <xdr:cNvSpPr/>
      </xdr:nvSpPr>
      <xdr:spPr>
        <a:xfrm rot="10800000">
          <a:off x="20173950" y="161353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892</xdr:row>
      <xdr:rowOff>0</xdr:rowOff>
    </xdr:from>
    <xdr:to>
      <xdr:col>24</xdr:col>
      <xdr:colOff>83820</xdr:colOff>
      <xdr:row>892</xdr:row>
      <xdr:rowOff>114300</xdr:rowOff>
    </xdr:to>
    <xdr:sp macro="" textlink="">
      <xdr:nvSpPr>
        <xdr:cNvPr id="2079" name="Arrow: Down 2078">
          <a:extLst>
            <a:ext uri="{FF2B5EF4-FFF2-40B4-BE49-F238E27FC236}">
              <a16:creationId xmlns:a16="http://schemas.microsoft.com/office/drawing/2014/main" id="{0C4B4D0A-0E6A-4363-88A7-87D0A35CBDF5}"/>
            </a:ext>
          </a:extLst>
        </xdr:cNvPr>
        <xdr:cNvSpPr/>
      </xdr:nvSpPr>
      <xdr:spPr>
        <a:xfrm>
          <a:off x="866298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892</xdr:row>
      <xdr:rowOff>0</xdr:rowOff>
    </xdr:from>
    <xdr:to>
      <xdr:col>5</xdr:col>
      <xdr:colOff>83820</xdr:colOff>
      <xdr:row>892</xdr:row>
      <xdr:rowOff>114300</xdr:rowOff>
    </xdr:to>
    <xdr:sp macro="" textlink="">
      <xdr:nvSpPr>
        <xdr:cNvPr id="2108" name="Arrow: Down 2107">
          <a:extLst>
            <a:ext uri="{FF2B5EF4-FFF2-40B4-BE49-F238E27FC236}">
              <a16:creationId xmlns:a16="http://schemas.microsoft.com/office/drawing/2014/main" id="{B80D8559-268A-4D5E-AB60-870013C5EDEA}"/>
            </a:ext>
          </a:extLst>
        </xdr:cNvPr>
        <xdr:cNvSpPr/>
      </xdr:nvSpPr>
      <xdr:spPr>
        <a:xfrm>
          <a:off x="2005013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892</xdr:row>
      <xdr:rowOff>0</xdr:rowOff>
    </xdr:from>
    <xdr:to>
      <xdr:col>11</xdr:col>
      <xdr:colOff>83820</xdr:colOff>
      <xdr:row>892</xdr:row>
      <xdr:rowOff>114300</xdr:rowOff>
    </xdr:to>
    <xdr:sp macro="" textlink="">
      <xdr:nvSpPr>
        <xdr:cNvPr id="2116" name="Arrow: Down 2115">
          <a:extLst>
            <a:ext uri="{FF2B5EF4-FFF2-40B4-BE49-F238E27FC236}">
              <a16:creationId xmlns:a16="http://schemas.microsoft.com/office/drawing/2014/main" id="{254397AF-9629-493E-80B6-9A70E7BD59B6}"/>
            </a:ext>
          </a:extLst>
        </xdr:cNvPr>
        <xdr:cNvSpPr/>
      </xdr:nvSpPr>
      <xdr:spPr>
        <a:xfrm>
          <a:off x="384333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892</xdr:row>
      <xdr:rowOff>0</xdr:rowOff>
    </xdr:from>
    <xdr:to>
      <xdr:col>71</xdr:col>
      <xdr:colOff>83820</xdr:colOff>
      <xdr:row>892</xdr:row>
      <xdr:rowOff>114300</xdr:rowOff>
    </xdr:to>
    <xdr:sp macro="" textlink="">
      <xdr:nvSpPr>
        <xdr:cNvPr id="2149" name="Arrow: Down 2148">
          <a:extLst>
            <a:ext uri="{FF2B5EF4-FFF2-40B4-BE49-F238E27FC236}">
              <a16:creationId xmlns:a16="http://schemas.microsoft.com/office/drawing/2014/main" id="{1015B3F2-96FC-4A00-81BE-7A170272DBA3}"/>
            </a:ext>
          </a:extLst>
        </xdr:cNvPr>
        <xdr:cNvSpPr/>
      </xdr:nvSpPr>
      <xdr:spPr>
        <a:xfrm rot="10800000">
          <a:off x="22888575" y="161353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892</xdr:row>
      <xdr:rowOff>0</xdr:rowOff>
    </xdr:from>
    <xdr:to>
      <xdr:col>39</xdr:col>
      <xdr:colOff>82233</xdr:colOff>
      <xdr:row>892</xdr:row>
      <xdr:rowOff>114300</xdr:rowOff>
    </xdr:to>
    <xdr:sp macro="" textlink="">
      <xdr:nvSpPr>
        <xdr:cNvPr id="2170" name="Arrow: Down 2169">
          <a:extLst>
            <a:ext uri="{FF2B5EF4-FFF2-40B4-BE49-F238E27FC236}">
              <a16:creationId xmlns:a16="http://schemas.microsoft.com/office/drawing/2014/main" id="{A6EB2D5E-26CC-4F7F-B7E0-DC16F95F9500}"/>
            </a:ext>
          </a:extLst>
        </xdr:cNvPr>
        <xdr:cNvSpPr/>
      </xdr:nvSpPr>
      <xdr:spPr>
        <a:xfrm>
          <a:off x="11996738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892</xdr:row>
      <xdr:rowOff>0</xdr:rowOff>
    </xdr:from>
    <xdr:to>
      <xdr:col>60</xdr:col>
      <xdr:colOff>82234</xdr:colOff>
      <xdr:row>892</xdr:row>
      <xdr:rowOff>114300</xdr:rowOff>
    </xdr:to>
    <xdr:sp macro="" textlink="">
      <xdr:nvSpPr>
        <xdr:cNvPr id="2171" name="Arrow: Down 2170">
          <a:extLst>
            <a:ext uri="{FF2B5EF4-FFF2-40B4-BE49-F238E27FC236}">
              <a16:creationId xmlns:a16="http://schemas.microsoft.com/office/drawing/2014/main" id="{249D61CD-E3FB-4170-BDBF-AE39B64FD0A7}"/>
            </a:ext>
          </a:extLst>
        </xdr:cNvPr>
        <xdr:cNvSpPr/>
      </xdr:nvSpPr>
      <xdr:spPr>
        <a:xfrm rot="10800000">
          <a:off x="19897725" y="161353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893</xdr:row>
      <xdr:rowOff>0</xdr:rowOff>
    </xdr:from>
    <xdr:to>
      <xdr:col>64</xdr:col>
      <xdr:colOff>83820</xdr:colOff>
      <xdr:row>893</xdr:row>
      <xdr:rowOff>114300</xdr:rowOff>
    </xdr:to>
    <xdr:sp macro="" textlink="">
      <xdr:nvSpPr>
        <xdr:cNvPr id="2172" name="Arrow: Down 2171">
          <a:extLst>
            <a:ext uri="{FF2B5EF4-FFF2-40B4-BE49-F238E27FC236}">
              <a16:creationId xmlns:a16="http://schemas.microsoft.com/office/drawing/2014/main" id="{76B6D99E-C826-4FD1-8C02-533997729268}"/>
            </a:ext>
          </a:extLst>
        </xdr:cNvPr>
        <xdr:cNvSpPr/>
      </xdr:nvSpPr>
      <xdr:spPr>
        <a:xfrm rot="10800000">
          <a:off x="20173950" y="1615344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893</xdr:row>
      <xdr:rowOff>0</xdr:rowOff>
    </xdr:from>
    <xdr:to>
      <xdr:col>24</xdr:col>
      <xdr:colOff>83820</xdr:colOff>
      <xdr:row>893</xdr:row>
      <xdr:rowOff>114300</xdr:rowOff>
    </xdr:to>
    <xdr:sp macro="" textlink="">
      <xdr:nvSpPr>
        <xdr:cNvPr id="2176" name="Arrow: Down 2175">
          <a:extLst>
            <a:ext uri="{FF2B5EF4-FFF2-40B4-BE49-F238E27FC236}">
              <a16:creationId xmlns:a16="http://schemas.microsoft.com/office/drawing/2014/main" id="{12E38667-D92E-4AD4-B797-1745944A9F3E}"/>
            </a:ext>
          </a:extLst>
        </xdr:cNvPr>
        <xdr:cNvSpPr/>
      </xdr:nvSpPr>
      <xdr:spPr>
        <a:xfrm>
          <a:off x="8662988" y="161534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893</xdr:row>
      <xdr:rowOff>0</xdr:rowOff>
    </xdr:from>
    <xdr:to>
      <xdr:col>45</xdr:col>
      <xdr:colOff>83820</xdr:colOff>
      <xdr:row>893</xdr:row>
      <xdr:rowOff>114300</xdr:rowOff>
    </xdr:to>
    <xdr:sp macro="" textlink="">
      <xdr:nvSpPr>
        <xdr:cNvPr id="2238" name="Arrow: Down 2237">
          <a:extLst>
            <a:ext uri="{FF2B5EF4-FFF2-40B4-BE49-F238E27FC236}">
              <a16:creationId xmlns:a16="http://schemas.microsoft.com/office/drawing/2014/main" id="{2B40DBA8-3781-4868-9DDE-FA288FFBB962}"/>
            </a:ext>
          </a:extLst>
        </xdr:cNvPr>
        <xdr:cNvSpPr/>
      </xdr:nvSpPr>
      <xdr:spPr>
        <a:xfrm rot="10800000">
          <a:off x="13930313" y="1615344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891</xdr:row>
      <xdr:rowOff>0</xdr:rowOff>
    </xdr:from>
    <xdr:to>
      <xdr:col>5</xdr:col>
      <xdr:colOff>82235</xdr:colOff>
      <xdr:row>891</xdr:row>
      <xdr:rowOff>114300</xdr:rowOff>
    </xdr:to>
    <xdr:sp macro="" textlink="">
      <xdr:nvSpPr>
        <xdr:cNvPr id="2346" name="Arrow: Down 2345">
          <a:extLst>
            <a:ext uri="{FF2B5EF4-FFF2-40B4-BE49-F238E27FC236}">
              <a16:creationId xmlns:a16="http://schemas.microsoft.com/office/drawing/2014/main" id="{9A5D7124-A605-46E5-88F2-C657BB69DCA4}"/>
            </a:ext>
          </a:extLst>
        </xdr:cNvPr>
        <xdr:cNvSpPr/>
      </xdr:nvSpPr>
      <xdr:spPr>
        <a:xfrm rot="10800000">
          <a:off x="2005013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82235</xdr:colOff>
      <xdr:row>888</xdr:row>
      <xdr:rowOff>114300</xdr:rowOff>
    </xdr:to>
    <xdr:sp macro="" textlink="">
      <xdr:nvSpPr>
        <xdr:cNvPr id="2347" name="Arrow: Down 2346">
          <a:extLst>
            <a:ext uri="{FF2B5EF4-FFF2-40B4-BE49-F238E27FC236}">
              <a16:creationId xmlns:a16="http://schemas.microsoft.com/office/drawing/2014/main" id="{24B856D0-D5FE-4531-8E31-6C9364DCBFE7}"/>
            </a:ext>
          </a:extLst>
        </xdr:cNvPr>
        <xdr:cNvSpPr/>
      </xdr:nvSpPr>
      <xdr:spPr>
        <a:xfrm rot="10800000">
          <a:off x="2005013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887</xdr:row>
      <xdr:rowOff>0</xdr:rowOff>
    </xdr:from>
    <xdr:to>
      <xdr:col>5</xdr:col>
      <xdr:colOff>82235</xdr:colOff>
      <xdr:row>887</xdr:row>
      <xdr:rowOff>114300</xdr:rowOff>
    </xdr:to>
    <xdr:sp macro="" textlink="">
      <xdr:nvSpPr>
        <xdr:cNvPr id="2350" name="Arrow: Down 2349">
          <a:extLst>
            <a:ext uri="{FF2B5EF4-FFF2-40B4-BE49-F238E27FC236}">
              <a16:creationId xmlns:a16="http://schemas.microsoft.com/office/drawing/2014/main" id="{F373CBA1-303C-4AB1-B55E-5DB45F5D5944}"/>
            </a:ext>
          </a:extLst>
        </xdr:cNvPr>
        <xdr:cNvSpPr/>
      </xdr:nvSpPr>
      <xdr:spPr>
        <a:xfrm rot="10800000">
          <a:off x="2005013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884</xdr:row>
      <xdr:rowOff>0</xdr:rowOff>
    </xdr:from>
    <xdr:to>
      <xdr:col>5</xdr:col>
      <xdr:colOff>82235</xdr:colOff>
      <xdr:row>884</xdr:row>
      <xdr:rowOff>114300</xdr:rowOff>
    </xdr:to>
    <xdr:sp macro="" textlink="">
      <xdr:nvSpPr>
        <xdr:cNvPr id="2355" name="Arrow: Down 2354">
          <a:extLst>
            <a:ext uri="{FF2B5EF4-FFF2-40B4-BE49-F238E27FC236}">
              <a16:creationId xmlns:a16="http://schemas.microsoft.com/office/drawing/2014/main" id="{05D654E3-94DE-45E4-9445-D41923F751A6}"/>
            </a:ext>
          </a:extLst>
        </xdr:cNvPr>
        <xdr:cNvSpPr/>
      </xdr:nvSpPr>
      <xdr:spPr>
        <a:xfrm rot="10800000">
          <a:off x="2005013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882</xdr:row>
      <xdr:rowOff>0</xdr:rowOff>
    </xdr:from>
    <xdr:to>
      <xdr:col>5</xdr:col>
      <xdr:colOff>82235</xdr:colOff>
      <xdr:row>882</xdr:row>
      <xdr:rowOff>114300</xdr:rowOff>
    </xdr:to>
    <xdr:sp macro="" textlink="">
      <xdr:nvSpPr>
        <xdr:cNvPr id="2361" name="Arrow: Down 2360">
          <a:extLst>
            <a:ext uri="{FF2B5EF4-FFF2-40B4-BE49-F238E27FC236}">
              <a16:creationId xmlns:a16="http://schemas.microsoft.com/office/drawing/2014/main" id="{578C9257-C2A8-4814-B3D5-F50491FEEB38}"/>
            </a:ext>
          </a:extLst>
        </xdr:cNvPr>
        <xdr:cNvSpPr/>
      </xdr:nvSpPr>
      <xdr:spPr>
        <a:xfrm rot="10800000">
          <a:off x="2005013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881</xdr:row>
      <xdr:rowOff>0</xdr:rowOff>
    </xdr:from>
    <xdr:to>
      <xdr:col>5</xdr:col>
      <xdr:colOff>82235</xdr:colOff>
      <xdr:row>881</xdr:row>
      <xdr:rowOff>114300</xdr:rowOff>
    </xdr:to>
    <xdr:sp macro="" textlink="">
      <xdr:nvSpPr>
        <xdr:cNvPr id="2393" name="Arrow: Down 2392">
          <a:extLst>
            <a:ext uri="{FF2B5EF4-FFF2-40B4-BE49-F238E27FC236}">
              <a16:creationId xmlns:a16="http://schemas.microsoft.com/office/drawing/2014/main" id="{4B53E4B4-4A5C-4E50-A430-25671AC94637}"/>
            </a:ext>
          </a:extLst>
        </xdr:cNvPr>
        <xdr:cNvSpPr/>
      </xdr:nvSpPr>
      <xdr:spPr>
        <a:xfrm rot="10800000">
          <a:off x="2005013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880</xdr:row>
      <xdr:rowOff>0</xdr:rowOff>
    </xdr:from>
    <xdr:to>
      <xdr:col>5</xdr:col>
      <xdr:colOff>82235</xdr:colOff>
      <xdr:row>880</xdr:row>
      <xdr:rowOff>114300</xdr:rowOff>
    </xdr:to>
    <xdr:sp macro="" textlink="">
      <xdr:nvSpPr>
        <xdr:cNvPr id="2397" name="Arrow: Down 2396">
          <a:extLst>
            <a:ext uri="{FF2B5EF4-FFF2-40B4-BE49-F238E27FC236}">
              <a16:creationId xmlns:a16="http://schemas.microsoft.com/office/drawing/2014/main" id="{2F3B2BC2-CB17-4825-A08B-95EF23C742E7}"/>
            </a:ext>
          </a:extLst>
        </xdr:cNvPr>
        <xdr:cNvSpPr/>
      </xdr:nvSpPr>
      <xdr:spPr>
        <a:xfrm rot="10800000">
          <a:off x="2005013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891</xdr:row>
      <xdr:rowOff>0</xdr:rowOff>
    </xdr:from>
    <xdr:to>
      <xdr:col>11</xdr:col>
      <xdr:colOff>82235</xdr:colOff>
      <xdr:row>891</xdr:row>
      <xdr:rowOff>114300</xdr:rowOff>
    </xdr:to>
    <xdr:sp macro="" textlink="">
      <xdr:nvSpPr>
        <xdr:cNvPr id="2401" name="Arrow: Down 2400">
          <a:extLst>
            <a:ext uri="{FF2B5EF4-FFF2-40B4-BE49-F238E27FC236}">
              <a16:creationId xmlns:a16="http://schemas.microsoft.com/office/drawing/2014/main" id="{B6692911-3D54-442C-9D8A-EB2E1F3FA981}"/>
            </a:ext>
          </a:extLst>
        </xdr:cNvPr>
        <xdr:cNvSpPr/>
      </xdr:nvSpPr>
      <xdr:spPr>
        <a:xfrm rot="10800000">
          <a:off x="384333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888</xdr:row>
      <xdr:rowOff>0</xdr:rowOff>
    </xdr:from>
    <xdr:to>
      <xdr:col>11</xdr:col>
      <xdr:colOff>82235</xdr:colOff>
      <xdr:row>888</xdr:row>
      <xdr:rowOff>114300</xdr:rowOff>
    </xdr:to>
    <xdr:sp macro="" textlink="">
      <xdr:nvSpPr>
        <xdr:cNvPr id="2402" name="Arrow: Down 2401">
          <a:extLst>
            <a:ext uri="{FF2B5EF4-FFF2-40B4-BE49-F238E27FC236}">
              <a16:creationId xmlns:a16="http://schemas.microsoft.com/office/drawing/2014/main" id="{57674151-40A1-40B3-9581-AE83C2953916}"/>
            </a:ext>
          </a:extLst>
        </xdr:cNvPr>
        <xdr:cNvSpPr/>
      </xdr:nvSpPr>
      <xdr:spPr>
        <a:xfrm rot="10800000">
          <a:off x="384333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887</xdr:row>
      <xdr:rowOff>0</xdr:rowOff>
    </xdr:from>
    <xdr:to>
      <xdr:col>11</xdr:col>
      <xdr:colOff>82235</xdr:colOff>
      <xdr:row>887</xdr:row>
      <xdr:rowOff>114300</xdr:rowOff>
    </xdr:to>
    <xdr:sp macro="" textlink="">
      <xdr:nvSpPr>
        <xdr:cNvPr id="2519" name="Arrow: Down 2518">
          <a:extLst>
            <a:ext uri="{FF2B5EF4-FFF2-40B4-BE49-F238E27FC236}">
              <a16:creationId xmlns:a16="http://schemas.microsoft.com/office/drawing/2014/main" id="{40086895-6C9F-4A48-B09B-F29E832607A3}"/>
            </a:ext>
          </a:extLst>
        </xdr:cNvPr>
        <xdr:cNvSpPr/>
      </xdr:nvSpPr>
      <xdr:spPr>
        <a:xfrm rot="10800000">
          <a:off x="384333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884</xdr:row>
      <xdr:rowOff>0</xdr:rowOff>
    </xdr:from>
    <xdr:to>
      <xdr:col>11</xdr:col>
      <xdr:colOff>82235</xdr:colOff>
      <xdr:row>884</xdr:row>
      <xdr:rowOff>114300</xdr:rowOff>
    </xdr:to>
    <xdr:sp macro="" textlink="">
      <xdr:nvSpPr>
        <xdr:cNvPr id="2520" name="Arrow: Down 2519">
          <a:extLst>
            <a:ext uri="{FF2B5EF4-FFF2-40B4-BE49-F238E27FC236}">
              <a16:creationId xmlns:a16="http://schemas.microsoft.com/office/drawing/2014/main" id="{FCBB36CC-C564-420A-BEDE-BB77CAEA0FB4}"/>
            </a:ext>
          </a:extLst>
        </xdr:cNvPr>
        <xdr:cNvSpPr/>
      </xdr:nvSpPr>
      <xdr:spPr>
        <a:xfrm rot="10800000">
          <a:off x="384333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882</xdr:row>
      <xdr:rowOff>0</xdr:rowOff>
    </xdr:from>
    <xdr:to>
      <xdr:col>11</xdr:col>
      <xdr:colOff>82235</xdr:colOff>
      <xdr:row>882</xdr:row>
      <xdr:rowOff>114300</xdr:rowOff>
    </xdr:to>
    <xdr:sp macro="" textlink="">
      <xdr:nvSpPr>
        <xdr:cNvPr id="2523" name="Arrow: Down 2522">
          <a:extLst>
            <a:ext uri="{FF2B5EF4-FFF2-40B4-BE49-F238E27FC236}">
              <a16:creationId xmlns:a16="http://schemas.microsoft.com/office/drawing/2014/main" id="{8A757C69-FA5A-45B5-A488-A6F983297AFC}"/>
            </a:ext>
          </a:extLst>
        </xdr:cNvPr>
        <xdr:cNvSpPr/>
      </xdr:nvSpPr>
      <xdr:spPr>
        <a:xfrm rot="10800000">
          <a:off x="384333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881</xdr:row>
      <xdr:rowOff>0</xdr:rowOff>
    </xdr:from>
    <xdr:to>
      <xdr:col>11</xdr:col>
      <xdr:colOff>82235</xdr:colOff>
      <xdr:row>881</xdr:row>
      <xdr:rowOff>114300</xdr:rowOff>
    </xdr:to>
    <xdr:sp macro="" textlink="">
      <xdr:nvSpPr>
        <xdr:cNvPr id="2528" name="Arrow: Down 2527">
          <a:extLst>
            <a:ext uri="{FF2B5EF4-FFF2-40B4-BE49-F238E27FC236}">
              <a16:creationId xmlns:a16="http://schemas.microsoft.com/office/drawing/2014/main" id="{3FFF7C74-107F-4067-B356-51F8854CE93D}"/>
            </a:ext>
          </a:extLst>
        </xdr:cNvPr>
        <xdr:cNvSpPr/>
      </xdr:nvSpPr>
      <xdr:spPr>
        <a:xfrm rot="10800000">
          <a:off x="384333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880</xdr:row>
      <xdr:rowOff>0</xdr:rowOff>
    </xdr:from>
    <xdr:to>
      <xdr:col>11</xdr:col>
      <xdr:colOff>82235</xdr:colOff>
      <xdr:row>880</xdr:row>
      <xdr:rowOff>114300</xdr:rowOff>
    </xdr:to>
    <xdr:sp macro="" textlink="">
      <xdr:nvSpPr>
        <xdr:cNvPr id="2543" name="Arrow: Down 2542">
          <a:extLst>
            <a:ext uri="{FF2B5EF4-FFF2-40B4-BE49-F238E27FC236}">
              <a16:creationId xmlns:a16="http://schemas.microsoft.com/office/drawing/2014/main" id="{E60DC218-6D11-4F2C-8EED-001F3711962B}"/>
            </a:ext>
          </a:extLst>
        </xdr:cNvPr>
        <xdr:cNvSpPr/>
      </xdr:nvSpPr>
      <xdr:spPr>
        <a:xfrm rot="10800000">
          <a:off x="3843338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891</xdr:row>
      <xdr:rowOff>0</xdr:rowOff>
    </xdr:from>
    <xdr:to>
      <xdr:col>24</xdr:col>
      <xdr:colOff>82235</xdr:colOff>
      <xdr:row>891</xdr:row>
      <xdr:rowOff>114300</xdr:rowOff>
    </xdr:to>
    <xdr:sp macro="" textlink="">
      <xdr:nvSpPr>
        <xdr:cNvPr id="2553" name="Arrow: Down 2552">
          <a:extLst>
            <a:ext uri="{FF2B5EF4-FFF2-40B4-BE49-F238E27FC236}">
              <a16:creationId xmlns:a16="http://schemas.microsoft.com/office/drawing/2014/main" id="{194C3319-C502-4F5E-A4B7-C586351E4C89}"/>
            </a:ext>
          </a:extLst>
        </xdr:cNvPr>
        <xdr:cNvSpPr/>
      </xdr:nvSpPr>
      <xdr:spPr>
        <a:xfrm rot="10800000">
          <a:off x="866298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889</xdr:row>
      <xdr:rowOff>0</xdr:rowOff>
    </xdr:from>
    <xdr:to>
      <xdr:col>24</xdr:col>
      <xdr:colOff>82235</xdr:colOff>
      <xdr:row>889</xdr:row>
      <xdr:rowOff>114300</xdr:rowOff>
    </xdr:to>
    <xdr:sp macro="" textlink="">
      <xdr:nvSpPr>
        <xdr:cNvPr id="2559" name="Arrow: Down 2558">
          <a:extLst>
            <a:ext uri="{FF2B5EF4-FFF2-40B4-BE49-F238E27FC236}">
              <a16:creationId xmlns:a16="http://schemas.microsoft.com/office/drawing/2014/main" id="{BD6E67E7-E692-4FAD-9491-B34BC71DF878}"/>
            </a:ext>
          </a:extLst>
        </xdr:cNvPr>
        <xdr:cNvSpPr/>
      </xdr:nvSpPr>
      <xdr:spPr>
        <a:xfrm rot="10800000">
          <a:off x="8662988" y="1609915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888</xdr:row>
      <xdr:rowOff>0</xdr:rowOff>
    </xdr:from>
    <xdr:to>
      <xdr:col>24</xdr:col>
      <xdr:colOff>82235</xdr:colOff>
      <xdr:row>888</xdr:row>
      <xdr:rowOff>114300</xdr:rowOff>
    </xdr:to>
    <xdr:sp macro="" textlink="">
      <xdr:nvSpPr>
        <xdr:cNvPr id="2580" name="Arrow: Down 2579">
          <a:extLst>
            <a:ext uri="{FF2B5EF4-FFF2-40B4-BE49-F238E27FC236}">
              <a16:creationId xmlns:a16="http://schemas.microsoft.com/office/drawing/2014/main" id="{D87A58F2-99D4-4878-87D9-08D18D3C7995}"/>
            </a:ext>
          </a:extLst>
        </xdr:cNvPr>
        <xdr:cNvSpPr/>
      </xdr:nvSpPr>
      <xdr:spPr>
        <a:xfrm rot="10800000">
          <a:off x="866298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887</xdr:row>
      <xdr:rowOff>0</xdr:rowOff>
    </xdr:from>
    <xdr:to>
      <xdr:col>24</xdr:col>
      <xdr:colOff>82235</xdr:colOff>
      <xdr:row>887</xdr:row>
      <xdr:rowOff>114300</xdr:rowOff>
    </xdr:to>
    <xdr:sp macro="" textlink="">
      <xdr:nvSpPr>
        <xdr:cNvPr id="2620" name="Arrow: Down 2619">
          <a:extLst>
            <a:ext uri="{FF2B5EF4-FFF2-40B4-BE49-F238E27FC236}">
              <a16:creationId xmlns:a16="http://schemas.microsoft.com/office/drawing/2014/main" id="{E0BD924A-3590-4A17-8CBE-17DF442AE7E7}"/>
            </a:ext>
          </a:extLst>
        </xdr:cNvPr>
        <xdr:cNvSpPr/>
      </xdr:nvSpPr>
      <xdr:spPr>
        <a:xfrm rot="10800000">
          <a:off x="866298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884</xdr:row>
      <xdr:rowOff>0</xdr:rowOff>
    </xdr:from>
    <xdr:to>
      <xdr:col>24</xdr:col>
      <xdr:colOff>82235</xdr:colOff>
      <xdr:row>884</xdr:row>
      <xdr:rowOff>114300</xdr:rowOff>
    </xdr:to>
    <xdr:sp macro="" textlink="">
      <xdr:nvSpPr>
        <xdr:cNvPr id="2631" name="Arrow: Down 2630">
          <a:extLst>
            <a:ext uri="{FF2B5EF4-FFF2-40B4-BE49-F238E27FC236}">
              <a16:creationId xmlns:a16="http://schemas.microsoft.com/office/drawing/2014/main" id="{D7EF0903-A3A8-42EF-9E05-F905ACCDAA8B}"/>
            </a:ext>
          </a:extLst>
        </xdr:cNvPr>
        <xdr:cNvSpPr/>
      </xdr:nvSpPr>
      <xdr:spPr>
        <a:xfrm rot="10800000">
          <a:off x="866298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882</xdr:row>
      <xdr:rowOff>0</xdr:rowOff>
    </xdr:from>
    <xdr:to>
      <xdr:col>24</xdr:col>
      <xdr:colOff>82235</xdr:colOff>
      <xdr:row>882</xdr:row>
      <xdr:rowOff>114300</xdr:rowOff>
    </xdr:to>
    <xdr:sp macro="" textlink="">
      <xdr:nvSpPr>
        <xdr:cNvPr id="2638" name="Arrow: Down 2637">
          <a:extLst>
            <a:ext uri="{FF2B5EF4-FFF2-40B4-BE49-F238E27FC236}">
              <a16:creationId xmlns:a16="http://schemas.microsoft.com/office/drawing/2014/main" id="{94512D02-945A-4402-8136-CCB4A202904C}"/>
            </a:ext>
          </a:extLst>
        </xdr:cNvPr>
        <xdr:cNvSpPr/>
      </xdr:nvSpPr>
      <xdr:spPr>
        <a:xfrm rot="10800000">
          <a:off x="866298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881</xdr:row>
      <xdr:rowOff>0</xdr:rowOff>
    </xdr:from>
    <xdr:to>
      <xdr:col>24</xdr:col>
      <xdr:colOff>82235</xdr:colOff>
      <xdr:row>881</xdr:row>
      <xdr:rowOff>114300</xdr:rowOff>
    </xdr:to>
    <xdr:sp macro="" textlink="">
      <xdr:nvSpPr>
        <xdr:cNvPr id="2639" name="Arrow: Down 2638">
          <a:extLst>
            <a:ext uri="{FF2B5EF4-FFF2-40B4-BE49-F238E27FC236}">
              <a16:creationId xmlns:a16="http://schemas.microsoft.com/office/drawing/2014/main" id="{0D69F758-D5DB-4B92-AEED-FE5AF700D558}"/>
            </a:ext>
          </a:extLst>
        </xdr:cNvPr>
        <xdr:cNvSpPr/>
      </xdr:nvSpPr>
      <xdr:spPr>
        <a:xfrm rot="10800000">
          <a:off x="866298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893</xdr:row>
      <xdr:rowOff>0</xdr:rowOff>
    </xdr:from>
    <xdr:to>
      <xdr:col>39</xdr:col>
      <xdr:colOff>80646</xdr:colOff>
      <xdr:row>893</xdr:row>
      <xdr:rowOff>114300</xdr:rowOff>
    </xdr:to>
    <xdr:sp macro="" textlink="">
      <xdr:nvSpPr>
        <xdr:cNvPr id="2642" name="Arrow: Down 2641">
          <a:extLst>
            <a:ext uri="{FF2B5EF4-FFF2-40B4-BE49-F238E27FC236}">
              <a16:creationId xmlns:a16="http://schemas.microsoft.com/office/drawing/2014/main" id="{82569944-09A6-4FF3-B0BA-D7EE554BECC0}"/>
            </a:ext>
          </a:extLst>
        </xdr:cNvPr>
        <xdr:cNvSpPr/>
      </xdr:nvSpPr>
      <xdr:spPr>
        <a:xfrm rot="10800000">
          <a:off x="11996738" y="1617154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890</xdr:row>
      <xdr:rowOff>0</xdr:rowOff>
    </xdr:from>
    <xdr:to>
      <xdr:col>39</xdr:col>
      <xdr:colOff>80646</xdr:colOff>
      <xdr:row>890</xdr:row>
      <xdr:rowOff>114300</xdr:rowOff>
    </xdr:to>
    <xdr:sp macro="" textlink="">
      <xdr:nvSpPr>
        <xdr:cNvPr id="2653" name="Arrow: Down 2652">
          <a:extLst>
            <a:ext uri="{FF2B5EF4-FFF2-40B4-BE49-F238E27FC236}">
              <a16:creationId xmlns:a16="http://schemas.microsoft.com/office/drawing/2014/main" id="{304FF5DB-706F-4439-8D6E-7B6A51AE872B}"/>
            </a:ext>
          </a:extLst>
        </xdr:cNvPr>
        <xdr:cNvSpPr/>
      </xdr:nvSpPr>
      <xdr:spPr>
        <a:xfrm rot="10800000">
          <a:off x="11996738" y="1611725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889</xdr:row>
      <xdr:rowOff>0</xdr:rowOff>
    </xdr:from>
    <xdr:to>
      <xdr:col>39</xdr:col>
      <xdr:colOff>80646</xdr:colOff>
      <xdr:row>889</xdr:row>
      <xdr:rowOff>114300</xdr:rowOff>
    </xdr:to>
    <xdr:sp macro="" textlink="">
      <xdr:nvSpPr>
        <xdr:cNvPr id="2676" name="Arrow: Down 2675">
          <a:extLst>
            <a:ext uri="{FF2B5EF4-FFF2-40B4-BE49-F238E27FC236}">
              <a16:creationId xmlns:a16="http://schemas.microsoft.com/office/drawing/2014/main" id="{3B10357D-033F-44A3-B87B-C7EE3C8458FC}"/>
            </a:ext>
          </a:extLst>
        </xdr:cNvPr>
        <xdr:cNvSpPr/>
      </xdr:nvSpPr>
      <xdr:spPr>
        <a:xfrm rot="10800000">
          <a:off x="11996738" y="1609915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887</xdr:row>
      <xdr:rowOff>0</xdr:rowOff>
    </xdr:from>
    <xdr:to>
      <xdr:col>39</xdr:col>
      <xdr:colOff>80646</xdr:colOff>
      <xdr:row>887</xdr:row>
      <xdr:rowOff>114300</xdr:rowOff>
    </xdr:to>
    <xdr:sp macro="" textlink="">
      <xdr:nvSpPr>
        <xdr:cNvPr id="2739" name="Arrow: Down 2738">
          <a:extLst>
            <a:ext uri="{FF2B5EF4-FFF2-40B4-BE49-F238E27FC236}">
              <a16:creationId xmlns:a16="http://schemas.microsoft.com/office/drawing/2014/main" id="{1FA64B9C-7366-4AF4-A0BD-E4D5B0255677}"/>
            </a:ext>
          </a:extLst>
        </xdr:cNvPr>
        <xdr:cNvSpPr/>
      </xdr:nvSpPr>
      <xdr:spPr>
        <a:xfrm rot="10800000">
          <a:off x="11996738" y="1606296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883</xdr:row>
      <xdr:rowOff>0</xdr:rowOff>
    </xdr:from>
    <xdr:to>
      <xdr:col>39</xdr:col>
      <xdr:colOff>80646</xdr:colOff>
      <xdr:row>883</xdr:row>
      <xdr:rowOff>114300</xdr:rowOff>
    </xdr:to>
    <xdr:sp macro="" textlink="">
      <xdr:nvSpPr>
        <xdr:cNvPr id="2748" name="Arrow: Down 2747">
          <a:extLst>
            <a:ext uri="{FF2B5EF4-FFF2-40B4-BE49-F238E27FC236}">
              <a16:creationId xmlns:a16="http://schemas.microsoft.com/office/drawing/2014/main" id="{4D89C7DA-7C73-47F1-AB08-35FD0C022E06}"/>
            </a:ext>
          </a:extLst>
        </xdr:cNvPr>
        <xdr:cNvSpPr/>
      </xdr:nvSpPr>
      <xdr:spPr>
        <a:xfrm rot="10800000">
          <a:off x="11996738" y="1599057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882</xdr:row>
      <xdr:rowOff>0</xdr:rowOff>
    </xdr:from>
    <xdr:to>
      <xdr:col>39</xdr:col>
      <xdr:colOff>80646</xdr:colOff>
      <xdr:row>882</xdr:row>
      <xdr:rowOff>114300</xdr:rowOff>
    </xdr:to>
    <xdr:sp macro="" textlink="">
      <xdr:nvSpPr>
        <xdr:cNvPr id="2755" name="Arrow: Down 2754">
          <a:extLst>
            <a:ext uri="{FF2B5EF4-FFF2-40B4-BE49-F238E27FC236}">
              <a16:creationId xmlns:a16="http://schemas.microsoft.com/office/drawing/2014/main" id="{25E8ABC6-AD01-41B7-B56B-6813384A2F20}"/>
            </a:ext>
          </a:extLst>
        </xdr:cNvPr>
        <xdr:cNvSpPr/>
      </xdr:nvSpPr>
      <xdr:spPr>
        <a:xfrm rot="10800000">
          <a:off x="11996738" y="1597247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880</xdr:row>
      <xdr:rowOff>0</xdr:rowOff>
    </xdr:from>
    <xdr:to>
      <xdr:col>39</xdr:col>
      <xdr:colOff>80646</xdr:colOff>
      <xdr:row>880</xdr:row>
      <xdr:rowOff>114300</xdr:rowOff>
    </xdr:to>
    <xdr:sp macro="" textlink="">
      <xdr:nvSpPr>
        <xdr:cNvPr id="2780" name="Arrow: Down 2779">
          <a:extLst>
            <a:ext uri="{FF2B5EF4-FFF2-40B4-BE49-F238E27FC236}">
              <a16:creationId xmlns:a16="http://schemas.microsoft.com/office/drawing/2014/main" id="{0EC929B0-92EB-48F8-AA02-CFD052E3B6E3}"/>
            </a:ext>
          </a:extLst>
        </xdr:cNvPr>
        <xdr:cNvSpPr/>
      </xdr:nvSpPr>
      <xdr:spPr>
        <a:xfrm rot="10800000">
          <a:off x="11996738" y="1593627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881</xdr:row>
      <xdr:rowOff>0</xdr:rowOff>
    </xdr:from>
    <xdr:to>
      <xdr:col>45</xdr:col>
      <xdr:colOff>82233</xdr:colOff>
      <xdr:row>881</xdr:row>
      <xdr:rowOff>114300</xdr:rowOff>
    </xdr:to>
    <xdr:sp macro="" textlink="">
      <xdr:nvSpPr>
        <xdr:cNvPr id="2807" name="Arrow: Down 2806">
          <a:extLst>
            <a:ext uri="{FF2B5EF4-FFF2-40B4-BE49-F238E27FC236}">
              <a16:creationId xmlns:a16="http://schemas.microsoft.com/office/drawing/2014/main" id="{6CECD16F-DFC6-424F-9B5C-4D06E54C7E07}"/>
            </a:ext>
          </a:extLst>
        </xdr:cNvPr>
        <xdr:cNvSpPr/>
      </xdr:nvSpPr>
      <xdr:spPr>
        <a:xfrm>
          <a:off x="13930313" y="1595437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892</xdr:row>
      <xdr:rowOff>0</xdr:rowOff>
    </xdr:from>
    <xdr:to>
      <xdr:col>45</xdr:col>
      <xdr:colOff>82233</xdr:colOff>
      <xdr:row>892</xdr:row>
      <xdr:rowOff>114300</xdr:rowOff>
    </xdr:to>
    <xdr:sp macro="" textlink="">
      <xdr:nvSpPr>
        <xdr:cNvPr id="2811" name="Arrow: Down 2810">
          <a:extLst>
            <a:ext uri="{FF2B5EF4-FFF2-40B4-BE49-F238E27FC236}">
              <a16:creationId xmlns:a16="http://schemas.microsoft.com/office/drawing/2014/main" id="{E4108542-A9FE-45F3-98E1-5555C7C20005}"/>
            </a:ext>
          </a:extLst>
        </xdr:cNvPr>
        <xdr:cNvSpPr/>
      </xdr:nvSpPr>
      <xdr:spPr>
        <a:xfrm>
          <a:off x="13930313" y="1615344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891</xdr:row>
      <xdr:rowOff>0</xdr:rowOff>
    </xdr:from>
    <xdr:to>
      <xdr:col>45</xdr:col>
      <xdr:colOff>82233</xdr:colOff>
      <xdr:row>891</xdr:row>
      <xdr:rowOff>114300</xdr:rowOff>
    </xdr:to>
    <xdr:sp macro="" textlink="">
      <xdr:nvSpPr>
        <xdr:cNvPr id="2834" name="Arrow: Down 2833">
          <a:extLst>
            <a:ext uri="{FF2B5EF4-FFF2-40B4-BE49-F238E27FC236}">
              <a16:creationId xmlns:a16="http://schemas.microsoft.com/office/drawing/2014/main" id="{237AEF01-84B6-4F27-B60C-88BF5D658872}"/>
            </a:ext>
          </a:extLst>
        </xdr:cNvPr>
        <xdr:cNvSpPr/>
      </xdr:nvSpPr>
      <xdr:spPr>
        <a:xfrm>
          <a:off x="13930313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888</xdr:row>
      <xdr:rowOff>0</xdr:rowOff>
    </xdr:from>
    <xdr:to>
      <xdr:col>45</xdr:col>
      <xdr:colOff>82233</xdr:colOff>
      <xdr:row>888</xdr:row>
      <xdr:rowOff>114300</xdr:rowOff>
    </xdr:to>
    <xdr:sp macro="" textlink="">
      <xdr:nvSpPr>
        <xdr:cNvPr id="2851" name="Arrow: Down 2850">
          <a:extLst>
            <a:ext uri="{FF2B5EF4-FFF2-40B4-BE49-F238E27FC236}">
              <a16:creationId xmlns:a16="http://schemas.microsoft.com/office/drawing/2014/main" id="{A001C014-D0CE-4200-B2FD-9BA0C4516653}"/>
            </a:ext>
          </a:extLst>
        </xdr:cNvPr>
        <xdr:cNvSpPr/>
      </xdr:nvSpPr>
      <xdr:spPr>
        <a:xfrm>
          <a:off x="13930313" y="1608105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884</xdr:row>
      <xdr:rowOff>0</xdr:rowOff>
    </xdr:from>
    <xdr:to>
      <xdr:col>45</xdr:col>
      <xdr:colOff>82233</xdr:colOff>
      <xdr:row>884</xdr:row>
      <xdr:rowOff>114300</xdr:rowOff>
    </xdr:to>
    <xdr:sp macro="" textlink="">
      <xdr:nvSpPr>
        <xdr:cNvPr id="3003" name="Arrow: Down 3002">
          <a:extLst>
            <a:ext uri="{FF2B5EF4-FFF2-40B4-BE49-F238E27FC236}">
              <a16:creationId xmlns:a16="http://schemas.microsoft.com/office/drawing/2014/main" id="{3FC131F6-976F-4E06-BCD0-ACC339F5F3D7}"/>
            </a:ext>
          </a:extLst>
        </xdr:cNvPr>
        <xdr:cNvSpPr/>
      </xdr:nvSpPr>
      <xdr:spPr>
        <a:xfrm>
          <a:off x="13930313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886</xdr:row>
      <xdr:rowOff>0</xdr:rowOff>
    </xdr:from>
    <xdr:to>
      <xdr:col>45</xdr:col>
      <xdr:colOff>82233</xdr:colOff>
      <xdr:row>886</xdr:row>
      <xdr:rowOff>114300</xdr:rowOff>
    </xdr:to>
    <xdr:sp macro="" textlink="">
      <xdr:nvSpPr>
        <xdr:cNvPr id="3009" name="Arrow: Down 3008">
          <a:extLst>
            <a:ext uri="{FF2B5EF4-FFF2-40B4-BE49-F238E27FC236}">
              <a16:creationId xmlns:a16="http://schemas.microsoft.com/office/drawing/2014/main" id="{AE15C52E-0C24-4BC2-828E-5408C37FE164}"/>
            </a:ext>
          </a:extLst>
        </xdr:cNvPr>
        <xdr:cNvSpPr/>
      </xdr:nvSpPr>
      <xdr:spPr>
        <a:xfrm>
          <a:off x="13930313" y="1604486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885</xdr:row>
      <xdr:rowOff>0</xdr:rowOff>
    </xdr:from>
    <xdr:to>
      <xdr:col>45</xdr:col>
      <xdr:colOff>82233</xdr:colOff>
      <xdr:row>885</xdr:row>
      <xdr:rowOff>114300</xdr:rowOff>
    </xdr:to>
    <xdr:sp macro="" textlink="">
      <xdr:nvSpPr>
        <xdr:cNvPr id="3020" name="Arrow: Down 3019">
          <a:extLst>
            <a:ext uri="{FF2B5EF4-FFF2-40B4-BE49-F238E27FC236}">
              <a16:creationId xmlns:a16="http://schemas.microsoft.com/office/drawing/2014/main" id="{C67AE90B-71F4-4F00-A092-8398782F2076}"/>
            </a:ext>
          </a:extLst>
        </xdr:cNvPr>
        <xdr:cNvSpPr/>
      </xdr:nvSpPr>
      <xdr:spPr>
        <a:xfrm>
          <a:off x="13930313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893</xdr:row>
      <xdr:rowOff>0</xdr:rowOff>
    </xdr:from>
    <xdr:to>
      <xdr:col>71</xdr:col>
      <xdr:colOff>80646</xdr:colOff>
      <xdr:row>893</xdr:row>
      <xdr:rowOff>114300</xdr:rowOff>
    </xdr:to>
    <xdr:sp macro="" textlink="">
      <xdr:nvSpPr>
        <xdr:cNvPr id="3023" name="Arrow: Down 3022">
          <a:extLst>
            <a:ext uri="{FF2B5EF4-FFF2-40B4-BE49-F238E27FC236}">
              <a16:creationId xmlns:a16="http://schemas.microsoft.com/office/drawing/2014/main" id="{2DA5B41F-7A03-4C2F-9CAB-EFE3928B0F8F}"/>
            </a:ext>
          </a:extLst>
        </xdr:cNvPr>
        <xdr:cNvSpPr/>
      </xdr:nvSpPr>
      <xdr:spPr>
        <a:xfrm>
          <a:off x="2288857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884</xdr:row>
      <xdr:rowOff>0</xdr:rowOff>
    </xdr:from>
    <xdr:to>
      <xdr:col>71</xdr:col>
      <xdr:colOff>80646</xdr:colOff>
      <xdr:row>884</xdr:row>
      <xdr:rowOff>114300</xdr:rowOff>
    </xdr:to>
    <xdr:sp macro="" textlink="">
      <xdr:nvSpPr>
        <xdr:cNvPr id="3074" name="Arrow: Down 3073">
          <a:extLst>
            <a:ext uri="{FF2B5EF4-FFF2-40B4-BE49-F238E27FC236}">
              <a16:creationId xmlns:a16="http://schemas.microsoft.com/office/drawing/2014/main" id="{5D782DB4-E314-44AC-90D1-62736CB1C0C0}"/>
            </a:ext>
          </a:extLst>
        </xdr:cNvPr>
        <xdr:cNvSpPr/>
      </xdr:nvSpPr>
      <xdr:spPr>
        <a:xfrm>
          <a:off x="2288857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887</xdr:row>
      <xdr:rowOff>0</xdr:rowOff>
    </xdr:from>
    <xdr:to>
      <xdr:col>71</xdr:col>
      <xdr:colOff>80646</xdr:colOff>
      <xdr:row>887</xdr:row>
      <xdr:rowOff>114300</xdr:rowOff>
    </xdr:to>
    <xdr:sp macro="" textlink="">
      <xdr:nvSpPr>
        <xdr:cNvPr id="3398" name="Arrow: Down 3397">
          <a:extLst>
            <a:ext uri="{FF2B5EF4-FFF2-40B4-BE49-F238E27FC236}">
              <a16:creationId xmlns:a16="http://schemas.microsoft.com/office/drawing/2014/main" id="{FDFCE751-EAF1-49B3-92A3-EEF916AAAB6E}"/>
            </a:ext>
          </a:extLst>
        </xdr:cNvPr>
        <xdr:cNvSpPr/>
      </xdr:nvSpPr>
      <xdr:spPr>
        <a:xfrm>
          <a:off x="2288857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891</xdr:row>
      <xdr:rowOff>0</xdr:rowOff>
    </xdr:from>
    <xdr:to>
      <xdr:col>71</xdr:col>
      <xdr:colOff>80646</xdr:colOff>
      <xdr:row>891</xdr:row>
      <xdr:rowOff>114300</xdr:rowOff>
    </xdr:to>
    <xdr:sp macro="" textlink="">
      <xdr:nvSpPr>
        <xdr:cNvPr id="3463" name="Arrow: Down 3462">
          <a:extLst>
            <a:ext uri="{FF2B5EF4-FFF2-40B4-BE49-F238E27FC236}">
              <a16:creationId xmlns:a16="http://schemas.microsoft.com/office/drawing/2014/main" id="{90938BAC-E050-4433-A5BC-A886F13A6263}"/>
            </a:ext>
          </a:extLst>
        </xdr:cNvPr>
        <xdr:cNvSpPr/>
      </xdr:nvSpPr>
      <xdr:spPr>
        <a:xfrm>
          <a:off x="2288857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893</xdr:row>
      <xdr:rowOff>0</xdr:rowOff>
    </xdr:from>
    <xdr:to>
      <xdr:col>60</xdr:col>
      <xdr:colOff>80646</xdr:colOff>
      <xdr:row>893</xdr:row>
      <xdr:rowOff>114300</xdr:rowOff>
    </xdr:to>
    <xdr:sp macro="" textlink="">
      <xdr:nvSpPr>
        <xdr:cNvPr id="3467" name="Arrow: Down 3466">
          <a:extLst>
            <a:ext uri="{FF2B5EF4-FFF2-40B4-BE49-F238E27FC236}">
              <a16:creationId xmlns:a16="http://schemas.microsoft.com/office/drawing/2014/main" id="{339CB678-3003-43E3-9526-8EA122F49166}"/>
            </a:ext>
          </a:extLst>
        </xdr:cNvPr>
        <xdr:cNvSpPr/>
      </xdr:nvSpPr>
      <xdr:spPr>
        <a:xfrm>
          <a:off x="1989772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882</xdr:row>
      <xdr:rowOff>0</xdr:rowOff>
    </xdr:from>
    <xdr:to>
      <xdr:col>60</xdr:col>
      <xdr:colOff>80646</xdr:colOff>
      <xdr:row>882</xdr:row>
      <xdr:rowOff>114300</xdr:rowOff>
    </xdr:to>
    <xdr:sp macro="" textlink="">
      <xdr:nvSpPr>
        <xdr:cNvPr id="3486" name="Arrow: Down 3485">
          <a:extLst>
            <a:ext uri="{FF2B5EF4-FFF2-40B4-BE49-F238E27FC236}">
              <a16:creationId xmlns:a16="http://schemas.microsoft.com/office/drawing/2014/main" id="{30DC235F-3D43-4736-926F-FAE6D108FDF5}"/>
            </a:ext>
          </a:extLst>
        </xdr:cNvPr>
        <xdr:cNvSpPr/>
      </xdr:nvSpPr>
      <xdr:spPr>
        <a:xfrm>
          <a:off x="19897725" y="1597247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884</xdr:row>
      <xdr:rowOff>0</xdr:rowOff>
    </xdr:from>
    <xdr:to>
      <xdr:col>60</xdr:col>
      <xdr:colOff>80646</xdr:colOff>
      <xdr:row>884</xdr:row>
      <xdr:rowOff>114300</xdr:rowOff>
    </xdr:to>
    <xdr:sp macro="" textlink="">
      <xdr:nvSpPr>
        <xdr:cNvPr id="3548" name="Arrow: Down 3547">
          <a:extLst>
            <a:ext uri="{FF2B5EF4-FFF2-40B4-BE49-F238E27FC236}">
              <a16:creationId xmlns:a16="http://schemas.microsoft.com/office/drawing/2014/main" id="{88532ED2-EFF6-4225-8731-26167C06BF9A}"/>
            </a:ext>
          </a:extLst>
        </xdr:cNvPr>
        <xdr:cNvSpPr/>
      </xdr:nvSpPr>
      <xdr:spPr>
        <a:xfrm>
          <a:off x="1989772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887</xdr:row>
      <xdr:rowOff>0</xdr:rowOff>
    </xdr:from>
    <xdr:to>
      <xdr:col>60</xdr:col>
      <xdr:colOff>80646</xdr:colOff>
      <xdr:row>887</xdr:row>
      <xdr:rowOff>114300</xdr:rowOff>
    </xdr:to>
    <xdr:sp macro="" textlink="">
      <xdr:nvSpPr>
        <xdr:cNvPr id="3574" name="Arrow: Down 3573">
          <a:extLst>
            <a:ext uri="{FF2B5EF4-FFF2-40B4-BE49-F238E27FC236}">
              <a16:creationId xmlns:a16="http://schemas.microsoft.com/office/drawing/2014/main" id="{B2C6FBAE-786F-4585-9802-CF9C48A0279D}"/>
            </a:ext>
          </a:extLst>
        </xdr:cNvPr>
        <xdr:cNvSpPr/>
      </xdr:nvSpPr>
      <xdr:spPr>
        <a:xfrm>
          <a:off x="1989772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889</xdr:row>
      <xdr:rowOff>0</xdr:rowOff>
    </xdr:from>
    <xdr:to>
      <xdr:col>60</xdr:col>
      <xdr:colOff>80646</xdr:colOff>
      <xdr:row>889</xdr:row>
      <xdr:rowOff>114300</xdr:rowOff>
    </xdr:to>
    <xdr:sp macro="" textlink="">
      <xdr:nvSpPr>
        <xdr:cNvPr id="3623" name="Arrow: Down 3622">
          <a:extLst>
            <a:ext uri="{FF2B5EF4-FFF2-40B4-BE49-F238E27FC236}">
              <a16:creationId xmlns:a16="http://schemas.microsoft.com/office/drawing/2014/main" id="{648E64DA-A7FE-4421-B8F0-A4D1AEE8D963}"/>
            </a:ext>
          </a:extLst>
        </xdr:cNvPr>
        <xdr:cNvSpPr/>
      </xdr:nvSpPr>
      <xdr:spPr>
        <a:xfrm>
          <a:off x="19897725" y="1609915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891</xdr:row>
      <xdr:rowOff>0</xdr:rowOff>
    </xdr:from>
    <xdr:to>
      <xdr:col>60</xdr:col>
      <xdr:colOff>80646</xdr:colOff>
      <xdr:row>891</xdr:row>
      <xdr:rowOff>114300</xdr:rowOff>
    </xdr:to>
    <xdr:sp macro="" textlink="">
      <xdr:nvSpPr>
        <xdr:cNvPr id="3641" name="Arrow: Down 3640">
          <a:extLst>
            <a:ext uri="{FF2B5EF4-FFF2-40B4-BE49-F238E27FC236}">
              <a16:creationId xmlns:a16="http://schemas.microsoft.com/office/drawing/2014/main" id="{43A4D87D-7C47-479A-B229-801EDC0577D1}"/>
            </a:ext>
          </a:extLst>
        </xdr:cNvPr>
        <xdr:cNvSpPr/>
      </xdr:nvSpPr>
      <xdr:spPr>
        <a:xfrm>
          <a:off x="1989772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82235</xdr:colOff>
      <xdr:row>893</xdr:row>
      <xdr:rowOff>114300</xdr:rowOff>
    </xdr:to>
    <xdr:sp macro="" textlink="">
      <xdr:nvSpPr>
        <xdr:cNvPr id="3653" name="Arrow: Down 3652">
          <a:extLst>
            <a:ext uri="{FF2B5EF4-FFF2-40B4-BE49-F238E27FC236}">
              <a16:creationId xmlns:a16="http://schemas.microsoft.com/office/drawing/2014/main" id="{CC371485-13F6-48B9-A5E8-A5B5576B8F34}"/>
            </a:ext>
          </a:extLst>
        </xdr:cNvPr>
        <xdr:cNvSpPr/>
      </xdr:nvSpPr>
      <xdr:spPr>
        <a:xfrm rot="10800000">
          <a:off x="2005013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893</xdr:row>
      <xdr:rowOff>0</xdr:rowOff>
    </xdr:from>
    <xdr:to>
      <xdr:col>11</xdr:col>
      <xdr:colOff>82235</xdr:colOff>
      <xdr:row>893</xdr:row>
      <xdr:rowOff>114300</xdr:rowOff>
    </xdr:to>
    <xdr:sp macro="" textlink="">
      <xdr:nvSpPr>
        <xdr:cNvPr id="3656" name="Arrow: Down 3655">
          <a:extLst>
            <a:ext uri="{FF2B5EF4-FFF2-40B4-BE49-F238E27FC236}">
              <a16:creationId xmlns:a16="http://schemas.microsoft.com/office/drawing/2014/main" id="{D849AD67-AED3-4E97-A6C3-F9330BBE3229}"/>
            </a:ext>
          </a:extLst>
        </xdr:cNvPr>
        <xdr:cNvSpPr/>
      </xdr:nvSpPr>
      <xdr:spPr>
        <a:xfrm rot="10800000">
          <a:off x="3843338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894</xdr:row>
      <xdr:rowOff>0</xdr:rowOff>
    </xdr:from>
    <xdr:to>
      <xdr:col>64</xdr:col>
      <xdr:colOff>83820</xdr:colOff>
      <xdr:row>894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C75F8D33-0B99-4053-BBCB-FD4939394B1E}"/>
            </a:ext>
          </a:extLst>
        </xdr:cNvPr>
        <xdr:cNvSpPr/>
      </xdr:nvSpPr>
      <xdr:spPr>
        <a:xfrm rot="10800000">
          <a:off x="201739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894</xdr:row>
      <xdr:rowOff>0</xdr:rowOff>
    </xdr:from>
    <xdr:to>
      <xdr:col>45</xdr:col>
      <xdr:colOff>83820</xdr:colOff>
      <xdr:row>894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354A2A38-41F9-4E6D-AA27-9FE2A670AA4E}"/>
            </a:ext>
          </a:extLst>
        </xdr:cNvPr>
        <xdr:cNvSpPr/>
      </xdr:nvSpPr>
      <xdr:spPr>
        <a:xfrm rot="10800000">
          <a:off x="13930313" y="1617154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894</xdr:row>
      <xdr:rowOff>0</xdr:rowOff>
    </xdr:from>
    <xdr:to>
      <xdr:col>71</xdr:col>
      <xdr:colOff>80646</xdr:colOff>
      <xdr:row>894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647695B1-09CF-4988-A69C-8842FC638468}"/>
            </a:ext>
          </a:extLst>
        </xdr:cNvPr>
        <xdr:cNvSpPr/>
      </xdr:nvSpPr>
      <xdr:spPr>
        <a:xfrm>
          <a:off x="2288857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894</xdr:row>
      <xdr:rowOff>0</xdr:rowOff>
    </xdr:from>
    <xdr:to>
      <xdr:col>5</xdr:col>
      <xdr:colOff>82235</xdr:colOff>
      <xdr:row>894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A1FE903D-F643-4F5E-A5EF-29B1CB5FA892}"/>
            </a:ext>
          </a:extLst>
        </xdr:cNvPr>
        <xdr:cNvSpPr/>
      </xdr:nvSpPr>
      <xdr:spPr>
        <a:xfrm rot="10800000">
          <a:off x="2005013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894</xdr:row>
      <xdr:rowOff>0</xdr:rowOff>
    </xdr:from>
    <xdr:to>
      <xdr:col>11</xdr:col>
      <xdr:colOff>82235</xdr:colOff>
      <xdr:row>894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D0B74099-0015-44B7-BE1D-6CEE52251055}"/>
            </a:ext>
          </a:extLst>
        </xdr:cNvPr>
        <xdr:cNvSpPr/>
      </xdr:nvSpPr>
      <xdr:spPr>
        <a:xfrm rot="10800000">
          <a:off x="3843338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895</xdr:row>
      <xdr:rowOff>0</xdr:rowOff>
    </xdr:from>
    <xdr:to>
      <xdr:col>64</xdr:col>
      <xdr:colOff>83820</xdr:colOff>
      <xdr:row>895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90B4BBDC-5EE5-4C9E-8587-B17217F3CC8F}"/>
            </a:ext>
          </a:extLst>
        </xdr:cNvPr>
        <xdr:cNvSpPr/>
      </xdr:nvSpPr>
      <xdr:spPr>
        <a:xfrm rot="10800000">
          <a:off x="20173950" y="1618964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895</xdr:row>
      <xdr:rowOff>0</xdr:rowOff>
    </xdr:from>
    <xdr:to>
      <xdr:col>45</xdr:col>
      <xdr:colOff>83820</xdr:colOff>
      <xdr:row>895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3C710EE2-C2C0-48B8-9EBB-4DAB551C3E85}"/>
            </a:ext>
          </a:extLst>
        </xdr:cNvPr>
        <xdr:cNvSpPr/>
      </xdr:nvSpPr>
      <xdr:spPr>
        <a:xfrm rot="10800000">
          <a:off x="13930313" y="1618964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895</xdr:row>
      <xdr:rowOff>0</xdr:rowOff>
    </xdr:from>
    <xdr:to>
      <xdr:col>39</xdr:col>
      <xdr:colOff>80646</xdr:colOff>
      <xdr:row>895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8DB5F9D4-923A-4449-A9E4-2B05DA666067}"/>
            </a:ext>
          </a:extLst>
        </xdr:cNvPr>
        <xdr:cNvSpPr/>
      </xdr:nvSpPr>
      <xdr:spPr>
        <a:xfrm rot="10800000">
          <a:off x="11996738" y="1618964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895</xdr:row>
      <xdr:rowOff>0</xdr:rowOff>
    </xdr:from>
    <xdr:to>
      <xdr:col>5</xdr:col>
      <xdr:colOff>82235</xdr:colOff>
      <xdr:row>895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45850A19-B829-45C4-A57F-C9DF68BEF4F3}"/>
            </a:ext>
          </a:extLst>
        </xdr:cNvPr>
        <xdr:cNvSpPr/>
      </xdr:nvSpPr>
      <xdr:spPr>
        <a:xfrm rot="10800000">
          <a:off x="2005013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895</xdr:row>
      <xdr:rowOff>0</xdr:rowOff>
    </xdr:from>
    <xdr:to>
      <xdr:col>11</xdr:col>
      <xdr:colOff>82235</xdr:colOff>
      <xdr:row>895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EDEAEE2D-3F28-42F9-B756-FC20880A7F2F}"/>
            </a:ext>
          </a:extLst>
        </xdr:cNvPr>
        <xdr:cNvSpPr/>
      </xdr:nvSpPr>
      <xdr:spPr>
        <a:xfrm rot="10800000">
          <a:off x="3843338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896</xdr:row>
      <xdr:rowOff>0</xdr:rowOff>
    </xdr:from>
    <xdr:to>
      <xdr:col>64</xdr:col>
      <xdr:colOff>83820</xdr:colOff>
      <xdr:row>896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8ADEDBB9-ADD3-43E9-A9C7-FDC6BE04CEA5}"/>
            </a:ext>
          </a:extLst>
        </xdr:cNvPr>
        <xdr:cNvSpPr/>
      </xdr:nvSpPr>
      <xdr:spPr>
        <a:xfrm rot="10800000">
          <a:off x="20173950" y="162077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896</xdr:row>
      <xdr:rowOff>0</xdr:rowOff>
    </xdr:from>
    <xdr:to>
      <xdr:col>45</xdr:col>
      <xdr:colOff>83820</xdr:colOff>
      <xdr:row>896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3293DC49-FED3-4148-8170-9F6DDECBDBCB}"/>
            </a:ext>
          </a:extLst>
        </xdr:cNvPr>
        <xdr:cNvSpPr/>
      </xdr:nvSpPr>
      <xdr:spPr>
        <a:xfrm rot="10800000">
          <a:off x="13930313" y="1620774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896</xdr:row>
      <xdr:rowOff>0</xdr:rowOff>
    </xdr:from>
    <xdr:to>
      <xdr:col>39</xdr:col>
      <xdr:colOff>80646</xdr:colOff>
      <xdr:row>896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A8273553-E803-4AC7-B03D-BE55EF1D3FD1}"/>
            </a:ext>
          </a:extLst>
        </xdr:cNvPr>
        <xdr:cNvSpPr/>
      </xdr:nvSpPr>
      <xdr:spPr>
        <a:xfrm rot="10800000">
          <a:off x="11996738" y="1620774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896</xdr:row>
      <xdr:rowOff>0</xdr:rowOff>
    </xdr:from>
    <xdr:to>
      <xdr:col>60</xdr:col>
      <xdr:colOff>80646</xdr:colOff>
      <xdr:row>896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DB296AD5-45A7-4633-8B1A-8BE6DDD927FE}"/>
            </a:ext>
          </a:extLst>
        </xdr:cNvPr>
        <xdr:cNvSpPr/>
      </xdr:nvSpPr>
      <xdr:spPr>
        <a:xfrm>
          <a:off x="19897725" y="162077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896</xdr:row>
      <xdr:rowOff>0</xdr:rowOff>
    </xdr:from>
    <xdr:to>
      <xdr:col>5</xdr:col>
      <xdr:colOff>82235</xdr:colOff>
      <xdr:row>896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9DB26E04-4339-4026-913A-B45AF51690D8}"/>
            </a:ext>
          </a:extLst>
        </xdr:cNvPr>
        <xdr:cNvSpPr/>
      </xdr:nvSpPr>
      <xdr:spPr>
        <a:xfrm rot="10800000">
          <a:off x="2005013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896</xdr:row>
      <xdr:rowOff>0</xdr:rowOff>
    </xdr:from>
    <xdr:to>
      <xdr:col>11</xdr:col>
      <xdr:colOff>82235</xdr:colOff>
      <xdr:row>896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AD4A74B4-33E3-437F-A967-69F7AA18DB45}"/>
            </a:ext>
          </a:extLst>
        </xdr:cNvPr>
        <xdr:cNvSpPr/>
      </xdr:nvSpPr>
      <xdr:spPr>
        <a:xfrm rot="10800000">
          <a:off x="3843338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897</xdr:row>
      <xdr:rowOff>0</xdr:rowOff>
    </xdr:from>
    <xdr:to>
      <xdr:col>64</xdr:col>
      <xdr:colOff>83820</xdr:colOff>
      <xdr:row>897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4D5F10FC-FD22-4746-918A-0069B2B95277}"/>
            </a:ext>
          </a:extLst>
        </xdr:cNvPr>
        <xdr:cNvSpPr/>
      </xdr:nvSpPr>
      <xdr:spPr>
        <a:xfrm rot="10800000">
          <a:off x="20173950" y="1622583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897</xdr:row>
      <xdr:rowOff>0</xdr:rowOff>
    </xdr:from>
    <xdr:to>
      <xdr:col>24</xdr:col>
      <xdr:colOff>83820</xdr:colOff>
      <xdr:row>897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C4F2F632-F24B-4888-98BA-2C572BCCFC5B}"/>
            </a:ext>
          </a:extLst>
        </xdr:cNvPr>
        <xdr:cNvSpPr/>
      </xdr:nvSpPr>
      <xdr:spPr>
        <a:xfrm>
          <a:off x="8662988" y="1622583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897</xdr:row>
      <xdr:rowOff>0</xdr:rowOff>
    </xdr:from>
    <xdr:to>
      <xdr:col>45</xdr:col>
      <xdr:colOff>83820</xdr:colOff>
      <xdr:row>897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BB67EF0C-60E7-4295-9D11-38443E3CFCF0}"/>
            </a:ext>
          </a:extLst>
        </xdr:cNvPr>
        <xdr:cNvSpPr/>
      </xdr:nvSpPr>
      <xdr:spPr>
        <a:xfrm rot="10800000">
          <a:off x="13930313" y="1622583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897</xdr:row>
      <xdr:rowOff>0</xdr:rowOff>
    </xdr:from>
    <xdr:to>
      <xdr:col>39</xdr:col>
      <xdr:colOff>80646</xdr:colOff>
      <xdr:row>897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5F90924-976E-45C5-A293-C16640F493A2}"/>
            </a:ext>
          </a:extLst>
        </xdr:cNvPr>
        <xdr:cNvSpPr/>
      </xdr:nvSpPr>
      <xdr:spPr>
        <a:xfrm rot="10800000">
          <a:off x="11996738" y="1622583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898</xdr:row>
      <xdr:rowOff>0</xdr:rowOff>
    </xdr:from>
    <xdr:to>
      <xdr:col>64</xdr:col>
      <xdr:colOff>83820</xdr:colOff>
      <xdr:row>898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D7881854-B10F-48D7-A38E-D347FFDCAB10}"/>
            </a:ext>
          </a:extLst>
        </xdr:cNvPr>
        <xdr:cNvSpPr/>
      </xdr:nvSpPr>
      <xdr:spPr>
        <a:xfrm rot="10800000">
          <a:off x="20173950" y="162439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898</xdr:row>
      <xdr:rowOff>0</xdr:rowOff>
    </xdr:from>
    <xdr:to>
      <xdr:col>45</xdr:col>
      <xdr:colOff>83820</xdr:colOff>
      <xdr:row>898</xdr:row>
      <xdr:rowOff>114300</xdr:rowOff>
    </xdr:to>
    <xdr:sp macro="" textlink="">
      <xdr:nvSpPr>
        <xdr:cNvPr id="984" name="Arrow: Down 983">
          <a:extLst>
            <a:ext uri="{FF2B5EF4-FFF2-40B4-BE49-F238E27FC236}">
              <a16:creationId xmlns:a16="http://schemas.microsoft.com/office/drawing/2014/main" id="{9479E324-7404-444E-B11D-A0F885E3533B}"/>
            </a:ext>
          </a:extLst>
        </xdr:cNvPr>
        <xdr:cNvSpPr/>
      </xdr:nvSpPr>
      <xdr:spPr>
        <a:xfrm rot="10800000">
          <a:off x="13930313" y="1624393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898</xdr:row>
      <xdr:rowOff>0</xdr:rowOff>
    </xdr:from>
    <xdr:to>
      <xdr:col>71</xdr:col>
      <xdr:colOff>80646</xdr:colOff>
      <xdr:row>898</xdr:row>
      <xdr:rowOff>114300</xdr:rowOff>
    </xdr:to>
    <xdr:sp macro="" textlink="">
      <xdr:nvSpPr>
        <xdr:cNvPr id="1039" name="Arrow: Down 1038">
          <a:extLst>
            <a:ext uri="{FF2B5EF4-FFF2-40B4-BE49-F238E27FC236}">
              <a16:creationId xmlns:a16="http://schemas.microsoft.com/office/drawing/2014/main" id="{90394734-871B-4A68-91B8-58F493126B19}"/>
            </a:ext>
          </a:extLst>
        </xdr:cNvPr>
        <xdr:cNvSpPr/>
      </xdr:nvSpPr>
      <xdr:spPr>
        <a:xfrm>
          <a:off x="22888575" y="162439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898</xdr:row>
      <xdr:rowOff>0</xdr:rowOff>
    </xdr:from>
    <xdr:to>
      <xdr:col>60</xdr:col>
      <xdr:colOff>80646</xdr:colOff>
      <xdr:row>898</xdr:row>
      <xdr:rowOff>114300</xdr:rowOff>
    </xdr:to>
    <xdr:sp macro="" textlink="">
      <xdr:nvSpPr>
        <xdr:cNvPr id="1088" name="Arrow: Down 1087">
          <a:extLst>
            <a:ext uri="{FF2B5EF4-FFF2-40B4-BE49-F238E27FC236}">
              <a16:creationId xmlns:a16="http://schemas.microsoft.com/office/drawing/2014/main" id="{6D5159DD-0B26-4D87-A12B-F3C604707615}"/>
            </a:ext>
          </a:extLst>
        </xdr:cNvPr>
        <xdr:cNvSpPr/>
      </xdr:nvSpPr>
      <xdr:spPr>
        <a:xfrm>
          <a:off x="19897725" y="162439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898</xdr:row>
      <xdr:rowOff>0</xdr:rowOff>
    </xdr:from>
    <xdr:to>
      <xdr:col>5</xdr:col>
      <xdr:colOff>82235</xdr:colOff>
      <xdr:row>898</xdr:row>
      <xdr:rowOff>114300</xdr:rowOff>
    </xdr:to>
    <xdr:sp macro="" textlink="">
      <xdr:nvSpPr>
        <xdr:cNvPr id="1089" name="Arrow: Down 1088">
          <a:extLst>
            <a:ext uri="{FF2B5EF4-FFF2-40B4-BE49-F238E27FC236}">
              <a16:creationId xmlns:a16="http://schemas.microsoft.com/office/drawing/2014/main" id="{BCF60274-FC78-4CD0-9DD8-B99F7D977532}"/>
            </a:ext>
          </a:extLst>
        </xdr:cNvPr>
        <xdr:cNvSpPr/>
      </xdr:nvSpPr>
      <xdr:spPr>
        <a:xfrm rot="10800000">
          <a:off x="2005013" y="1624393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898</xdr:row>
      <xdr:rowOff>0</xdr:rowOff>
    </xdr:from>
    <xdr:to>
      <xdr:col>11</xdr:col>
      <xdr:colOff>82235</xdr:colOff>
      <xdr:row>898</xdr:row>
      <xdr:rowOff>114300</xdr:rowOff>
    </xdr:to>
    <xdr:sp macro="" textlink="">
      <xdr:nvSpPr>
        <xdr:cNvPr id="1112" name="Arrow: Down 1111">
          <a:extLst>
            <a:ext uri="{FF2B5EF4-FFF2-40B4-BE49-F238E27FC236}">
              <a16:creationId xmlns:a16="http://schemas.microsoft.com/office/drawing/2014/main" id="{51432159-3F6C-4912-9AA1-C2A32E12E5D2}"/>
            </a:ext>
          </a:extLst>
        </xdr:cNvPr>
        <xdr:cNvSpPr/>
      </xdr:nvSpPr>
      <xdr:spPr>
        <a:xfrm rot="10800000">
          <a:off x="3843338" y="1624393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899</xdr:row>
      <xdr:rowOff>0</xdr:rowOff>
    </xdr:from>
    <xdr:to>
      <xdr:col>64</xdr:col>
      <xdr:colOff>83820</xdr:colOff>
      <xdr:row>899</xdr:row>
      <xdr:rowOff>114300</xdr:rowOff>
    </xdr:to>
    <xdr:sp macro="" textlink="">
      <xdr:nvSpPr>
        <xdr:cNvPr id="1149" name="Arrow: Down 1148">
          <a:extLst>
            <a:ext uri="{FF2B5EF4-FFF2-40B4-BE49-F238E27FC236}">
              <a16:creationId xmlns:a16="http://schemas.microsoft.com/office/drawing/2014/main" id="{6906EC28-1D60-4366-9F1F-1D7EA9561780}"/>
            </a:ext>
          </a:extLst>
        </xdr:cNvPr>
        <xdr:cNvSpPr/>
      </xdr:nvSpPr>
      <xdr:spPr>
        <a:xfrm rot="10800000">
          <a:off x="20173950" y="1626203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899</xdr:row>
      <xdr:rowOff>0</xdr:rowOff>
    </xdr:from>
    <xdr:to>
      <xdr:col>24</xdr:col>
      <xdr:colOff>83820</xdr:colOff>
      <xdr:row>899</xdr:row>
      <xdr:rowOff>114300</xdr:rowOff>
    </xdr:to>
    <xdr:sp macro="" textlink="">
      <xdr:nvSpPr>
        <xdr:cNvPr id="1159" name="Arrow: Down 1158">
          <a:extLst>
            <a:ext uri="{FF2B5EF4-FFF2-40B4-BE49-F238E27FC236}">
              <a16:creationId xmlns:a16="http://schemas.microsoft.com/office/drawing/2014/main" id="{DB91BA71-1999-4ADA-B99D-56D804A4ACA3}"/>
            </a:ext>
          </a:extLst>
        </xdr:cNvPr>
        <xdr:cNvSpPr/>
      </xdr:nvSpPr>
      <xdr:spPr>
        <a:xfrm>
          <a:off x="8662988" y="1626203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899</xdr:row>
      <xdr:rowOff>0</xdr:rowOff>
    </xdr:from>
    <xdr:to>
      <xdr:col>45</xdr:col>
      <xdr:colOff>83820</xdr:colOff>
      <xdr:row>899</xdr:row>
      <xdr:rowOff>114300</xdr:rowOff>
    </xdr:to>
    <xdr:sp macro="" textlink="">
      <xdr:nvSpPr>
        <xdr:cNvPr id="1160" name="Arrow: Down 1159">
          <a:extLst>
            <a:ext uri="{FF2B5EF4-FFF2-40B4-BE49-F238E27FC236}">
              <a16:creationId xmlns:a16="http://schemas.microsoft.com/office/drawing/2014/main" id="{0E027CAB-3C44-47A6-800D-C19729A2BB46}"/>
            </a:ext>
          </a:extLst>
        </xdr:cNvPr>
        <xdr:cNvSpPr/>
      </xdr:nvSpPr>
      <xdr:spPr>
        <a:xfrm rot="10800000">
          <a:off x="13930313" y="1626203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900</xdr:row>
      <xdr:rowOff>0</xdr:rowOff>
    </xdr:from>
    <xdr:to>
      <xdr:col>64</xdr:col>
      <xdr:colOff>83820</xdr:colOff>
      <xdr:row>900</xdr:row>
      <xdr:rowOff>114300</xdr:rowOff>
    </xdr:to>
    <xdr:sp macro="" textlink="">
      <xdr:nvSpPr>
        <xdr:cNvPr id="1209" name="Arrow: Down 1208">
          <a:extLst>
            <a:ext uri="{FF2B5EF4-FFF2-40B4-BE49-F238E27FC236}">
              <a16:creationId xmlns:a16="http://schemas.microsoft.com/office/drawing/2014/main" id="{379A57AE-EB66-4CD1-9A62-F5D4EB0C727E}"/>
            </a:ext>
          </a:extLst>
        </xdr:cNvPr>
        <xdr:cNvSpPr/>
      </xdr:nvSpPr>
      <xdr:spPr>
        <a:xfrm rot="10800000">
          <a:off x="20173950" y="16280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900</xdr:row>
      <xdr:rowOff>0</xdr:rowOff>
    </xdr:from>
    <xdr:to>
      <xdr:col>24</xdr:col>
      <xdr:colOff>83820</xdr:colOff>
      <xdr:row>900</xdr:row>
      <xdr:rowOff>114300</xdr:rowOff>
    </xdr:to>
    <xdr:sp macro="" textlink="">
      <xdr:nvSpPr>
        <xdr:cNvPr id="1210" name="Arrow: Down 1209">
          <a:extLst>
            <a:ext uri="{FF2B5EF4-FFF2-40B4-BE49-F238E27FC236}">
              <a16:creationId xmlns:a16="http://schemas.microsoft.com/office/drawing/2014/main" id="{9834F453-B59D-4758-9081-912E56253833}"/>
            </a:ext>
          </a:extLst>
        </xdr:cNvPr>
        <xdr:cNvSpPr/>
      </xdr:nvSpPr>
      <xdr:spPr>
        <a:xfrm>
          <a:off x="8662988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900</xdr:row>
      <xdr:rowOff>0</xdr:rowOff>
    </xdr:from>
    <xdr:to>
      <xdr:col>45</xdr:col>
      <xdr:colOff>83820</xdr:colOff>
      <xdr:row>900</xdr:row>
      <xdr:rowOff>114300</xdr:rowOff>
    </xdr:to>
    <xdr:sp macro="" textlink="">
      <xdr:nvSpPr>
        <xdr:cNvPr id="1211" name="Arrow: Down 1210">
          <a:extLst>
            <a:ext uri="{FF2B5EF4-FFF2-40B4-BE49-F238E27FC236}">
              <a16:creationId xmlns:a16="http://schemas.microsoft.com/office/drawing/2014/main" id="{BD92B972-F8ED-4407-8684-4E1E9CCB54CA}"/>
            </a:ext>
          </a:extLst>
        </xdr:cNvPr>
        <xdr:cNvSpPr/>
      </xdr:nvSpPr>
      <xdr:spPr>
        <a:xfrm rot="10800000">
          <a:off x="13930313" y="16280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900</xdr:row>
      <xdr:rowOff>0</xdr:rowOff>
    </xdr:from>
    <xdr:to>
      <xdr:col>60</xdr:col>
      <xdr:colOff>80646</xdr:colOff>
      <xdr:row>900</xdr:row>
      <xdr:rowOff>114300</xdr:rowOff>
    </xdr:to>
    <xdr:sp macro="" textlink="">
      <xdr:nvSpPr>
        <xdr:cNvPr id="1223" name="Arrow: Down 1222">
          <a:extLst>
            <a:ext uri="{FF2B5EF4-FFF2-40B4-BE49-F238E27FC236}">
              <a16:creationId xmlns:a16="http://schemas.microsoft.com/office/drawing/2014/main" id="{C83648C1-9CBB-4FD7-8CB4-0CCD83F04683}"/>
            </a:ext>
          </a:extLst>
        </xdr:cNvPr>
        <xdr:cNvSpPr/>
      </xdr:nvSpPr>
      <xdr:spPr>
        <a:xfrm>
          <a:off x="19897725" y="1628013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900</xdr:row>
      <xdr:rowOff>0</xdr:rowOff>
    </xdr:from>
    <xdr:to>
      <xdr:col>11</xdr:col>
      <xdr:colOff>83820</xdr:colOff>
      <xdr:row>900</xdr:row>
      <xdr:rowOff>114300</xdr:rowOff>
    </xdr:to>
    <xdr:sp macro="" textlink="">
      <xdr:nvSpPr>
        <xdr:cNvPr id="2749" name="Arrow: Down 2748">
          <a:extLst>
            <a:ext uri="{FF2B5EF4-FFF2-40B4-BE49-F238E27FC236}">
              <a16:creationId xmlns:a16="http://schemas.microsoft.com/office/drawing/2014/main" id="{3FD82CB9-BFD9-497F-AFE3-2CC162EBABD7}"/>
            </a:ext>
          </a:extLst>
        </xdr:cNvPr>
        <xdr:cNvSpPr/>
      </xdr:nvSpPr>
      <xdr:spPr>
        <a:xfrm>
          <a:off x="3843338" y="1629822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897</xdr:row>
      <xdr:rowOff>0</xdr:rowOff>
    </xdr:from>
    <xdr:to>
      <xdr:col>11</xdr:col>
      <xdr:colOff>83820</xdr:colOff>
      <xdr:row>897</xdr:row>
      <xdr:rowOff>114300</xdr:rowOff>
    </xdr:to>
    <xdr:sp macro="" textlink="">
      <xdr:nvSpPr>
        <xdr:cNvPr id="2779" name="Arrow: Down 2778">
          <a:extLst>
            <a:ext uri="{FF2B5EF4-FFF2-40B4-BE49-F238E27FC236}">
              <a16:creationId xmlns:a16="http://schemas.microsoft.com/office/drawing/2014/main" id="{32C88466-3F16-4D9F-AA8C-95C156E24331}"/>
            </a:ext>
          </a:extLst>
        </xdr:cNvPr>
        <xdr:cNvSpPr/>
      </xdr:nvSpPr>
      <xdr:spPr>
        <a:xfrm>
          <a:off x="3843338" y="162439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899</xdr:row>
      <xdr:rowOff>0</xdr:rowOff>
    </xdr:from>
    <xdr:to>
      <xdr:col>11</xdr:col>
      <xdr:colOff>83820</xdr:colOff>
      <xdr:row>899</xdr:row>
      <xdr:rowOff>114300</xdr:rowOff>
    </xdr:to>
    <xdr:sp macro="" textlink="">
      <xdr:nvSpPr>
        <xdr:cNvPr id="2840" name="Arrow: Down 2839">
          <a:extLst>
            <a:ext uri="{FF2B5EF4-FFF2-40B4-BE49-F238E27FC236}">
              <a16:creationId xmlns:a16="http://schemas.microsoft.com/office/drawing/2014/main" id="{7B9BFE95-AF3A-45B2-A98E-57B1F863A315}"/>
            </a:ext>
          </a:extLst>
        </xdr:cNvPr>
        <xdr:cNvSpPr/>
      </xdr:nvSpPr>
      <xdr:spPr>
        <a:xfrm>
          <a:off x="3843338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897</xdr:row>
      <xdr:rowOff>0</xdr:rowOff>
    </xdr:from>
    <xdr:to>
      <xdr:col>5</xdr:col>
      <xdr:colOff>83820</xdr:colOff>
      <xdr:row>897</xdr:row>
      <xdr:rowOff>114300</xdr:rowOff>
    </xdr:to>
    <xdr:sp macro="" textlink="">
      <xdr:nvSpPr>
        <xdr:cNvPr id="2985" name="Arrow: Down 2984">
          <a:extLst>
            <a:ext uri="{FF2B5EF4-FFF2-40B4-BE49-F238E27FC236}">
              <a16:creationId xmlns:a16="http://schemas.microsoft.com/office/drawing/2014/main" id="{9C22617D-B49B-466D-8656-0F161978306E}"/>
            </a:ext>
          </a:extLst>
        </xdr:cNvPr>
        <xdr:cNvSpPr/>
      </xdr:nvSpPr>
      <xdr:spPr>
        <a:xfrm>
          <a:off x="2005013" y="162439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899</xdr:row>
      <xdr:rowOff>0</xdr:rowOff>
    </xdr:from>
    <xdr:to>
      <xdr:col>5</xdr:col>
      <xdr:colOff>83820</xdr:colOff>
      <xdr:row>899</xdr:row>
      <xdr:rowOff>114300</xdr:rowOff>
    </xdr:to>
    <xdr:sp macro="" textlink="">
      <xdr:nvSpPr>
        <xdr:cNvPr id="3027" name="Arrow: Down 3026">
          <a:extLst>
            <a:ext uri="{FF2B5EF4-FFF2-40B4-BE49-F238E27FC236}">
              <a16:creationId xmlns:a16="http://schemas.microsoft.com/office/drawing/2014/main" id="{F1FDBE21-BE30-44BA-A505-594E7B209372}"/>
            </a:ext>
          </a:extLst>
        </xdr:cNvPr>
        <xdr:cNvSpPr/>
      </xdr:nvSpPr>
      <xdr:spPr>
        <a:xfrm>
          <a:off x="2005013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900</xdr:row>
      <xdr:rowOff>0</xdr:rowOff>
    </xdr:from>
    <xdr:to>
      <xdr:col>5</xdr:col>
      <xdr:colOff>83820</xdr:colOff>
      <xdr:row>900</xdr:row>
      <xdr:rowOff>114300</xdr:rowOff>
    </xdr:to>
    <xdr:sp macro="" textlink="">
      <xdr:nvSpPr>
        <xdr:cNvPr id="3401" name="Arrow: Down 3400">
          <a:extLst>
            <a:ext uri="{FF2B5EF4-FFF2-40B4-BE49-F238E27FC236}">
              <a16:creationId xmlns:a16="http://schemas.microsoft.com/office/drawing/2014/main" id="{F530829E-BC68-471E-B19C-37E414CB78E7}"/>
            </a:ext>
          </a:extLst>
        </xdr:cNvPr>
        <xdr:cNvSpPr/>
      </xdr:nvSpPr>
      <xdr:spPr>
        <a:xfrm>
          <a:off x="2005013" y="1629822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898</xdr:row>
      <xdr:rowOff>0</xdr:rowOff>
    </xdr:from>
    <xdr:to>
      <xdr:col>24</xdr:col>
      <xdr:colOff>82235</xdr:colOff>
      <xdr:row>898</xdr:row>
      <xdr:rowOff>114300</xdr:rowOff>
    </xdr:to>
    <xdr:sp macro="" textlink="">
      <xdr:nvSpPr>
        <xdr:cNvPr id="3529" name="Arrow: Down 3528">
          <a:extLst>
            <a:ext uri="{FF2B5EF4-FFF2-40B4-BE49-F238E27FC236}">
              <a16:creationId xmlns:a16="http://schemas.microsoft.com/office/drawing/2014/main" id="{AEAFCABD-CA93-4182-B959-24EC0B7D5CC2}"/>
            </a:ext>
          </a:extLst>
        </xdr:cNvPr>
        <xdr:cNvSpPr/>
      </xdr:nvSpPr>
      <xdr:spPr>
        <a:xfrm rot="10800000">
          <a:off x="8662988" y="1626203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896</xdr:row>
      <xdr:rowOff>0</xdr:rowOff>
    </xdr:from>
    <xdr:to>
      <xdr:col>24</xdr:col>
      <xdr:colOff>82235</xdr:colOff>
      <xdr:row>896</xdr:row>
      <xdr:rowOff>114300</xdr:rowOff>
    </xdr:to>
    <xdr:sp macro="" textlink="">
      <xdr:nvSpPr>
        <xdr:cNvPr id="3573" name="Arrow: Down 3572">
          <a:extLst>
            <a:ext uri="{FF2B5EF4-FFF2-40B4-BE49-F238E27FC236}">
              <a16:creationId xmlns:a16="http://schemas.microsoft.com/office/drawing/2014/main" id="{D09E9CB3-167B-42A1-A545-95ACC95356FA}"/>
            </a:ext>
          </a:extLst>
        </xdr:cNvPr>
        <xdr:cNvSpPr/>
      </xdr:nvSpPr>
      <xdr:spPr>
        <a:xfrm rot="10800000">
          <a:off x="8662988" y="1622583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895</xdr:row>
      <xdr:rowOff>0</xdr:rowOff>
    </xdr:from>
    <xdr:to>
      <xdr:col>24</xdr:col>
      <xdr:colOff>82235</xdr:colOff>
      <xdr:row>895</xdr:row>
      <xdr:rowOff>114300</xdr:rowOff>
    </xdr:to>
    <xdr:sp macro="" textlink="">
      <xdr:nvSpPr>
        <xdr:cNvPr id="3687" name="Arrow: Down 3686">
          <a:extLst>
            <a:ext uri="{FF2B5EF4-FFF2-40B4-BE49-F238E27FC236}">
              <a16:creationId xmlns:a16="http://schemas.microsoft.com/office/drawing/2014/main" id="{541E8EC6-D64C-448A-9E99-1C12BB9A7FB7}"/>
            </a:ext>
          </a:extLst>
        </xdr:cNvPr>
        <xdr:cNvSpPr/>
      </xdr:nvSpPr>
      <xdr:spPr>
        <a:xfrm rot="10800000">
          <a:off x="8662988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894</xdr:row>
      <xdr:rowOff>0</xdr:rowOff>
    </xdr:from>
    <xdr:to>
      <xdr:col>24</xdr:col>
      <xdr:colOff>82235</xdr:colOff>
      <xdr:row>894</xdr:row>
      <xdr:rowOff>114300</xdr:rowOff>
    </xdr:to>
    <xdr:sp macro="" textlink="">
      <xdr:nvSpPr>
        <xdr:cNvPr id="3713" name="Arrow: Down 3712">
          <a:extLst>
            <a:ext uri="{FF2B5EF4-FFF2-40B4-BE49-F238E27FC236}">
              <a16:creationId xmlns:a16="http://schemas.microsoft.com/office/drawing/2014/main" id="{51601DF6-7F73-45A0-AC92-E88A4D8ABB64}"/>
            </a:ext>
          </a:extLst>
        </xdr:cNvPr>
        <xdr:cNvSpPr/>
      </xdr:nvSpPr>
      <xdr:spPr>
        <a:xfrm rot="10800000">
          <a:off x="8662988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900</xdr:row>
      <xdr:rowOff>0</xdr:rowOff>
    </xdr:from>
    <xdr:to>
      <xdr:col>39</xdr:col>
      <xdr:colOff>82233</xdr:colOff>
      <xdr:row>900</xdr:row>
      <xdr:rowOff>114300</xdr:rowOff>
    </xdr:to>
    <xdr:sp macro="" textlink="">
      <xdr:nvSpPr>
        <xdr:cNvPr id="3728" name="Arrow: Down 3727">
          <a:extLst>
            <a:ext uri="{FF2B5EF4-FFF2-40B4-BE49-F238E27FC236}">
              <a16:creationId xmlns:a16="http://schemas.microsoft.com/office/drawing/2014/main" id="{77B287B3-07A6-4A21-B09F-6C97FDCC1A26}"/>
            </a:ext>
          </a:extLst>
        </xdr:cNvPr>
        <xdr:cNvSpPr/>
      </xdr:nvSpPr>
      <xdr:spPr>
        <a:xfrm>
          <a:off x="11996738" y="1629822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894</xdr:row>
      <xdr:rowOff>0</xdr:rowOff>
    </xdr:from>
    <xdr:to>
      <xdr:col>39</xdr:col>
      <xdr:colOff>82233</xdr:colOff>
      <xdr:row>894</xdr:row>
      <xdr:rowOff>114300</xdr:rowOff>
    </xdr:to>
    <xdr:sp macro="" textlink="">
      <xdr:nvSpPr>
        <xdr:cNvPr id="3734" name="Arrow: Down 3733">
          <a:extLst>
            <a:ext uri="{FF2B5EF4-FFF2-40B4-BE49-F238E27FC236}">
              <a16:creationId xmlns:a16="http://schemas.microsoft.com/office/drawing/2014/main" id="{339C0BEC-252B-45C0-948B-2B41A71DB002}"/>
            </a:ext>
          </a:extLst>
        </xdr:cNvPr>
        <xdr:cNvSpPr/>
      </xdr:nvSpPr>
      <xdr:spPr>
        <a:xfrm>
          <a:off x="11996738" y="161896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898</xdr:row>
      <xdr:rowOff>0</xdr:rowOff>
    </xdr:from>
    <xdr:to>
      <xdr:col>39</xdr:col>
      <xdr:colOff>82233</xdr:colOff>
      <xdr:row>898</xdr:row>
      <xdr:rowOff>114300</xdr:rowOff>
    </xdr:to>
    <xdr:sp macro="" textlink="">
      <xdr:nvSpPr>
        <xdr:cNvPr id="3747" name="Arrow: Down 3746">
          <a:extLst>
            <a:ext uri="{FF2B5EF4-FFF2-40B4-BE49-F238E27FC236}">
              <a16:creationId xmlns:a16="http://schemas.microsoft.com/office/drawing/2014/main" id="{3CAB471B-54FE-4F11-99AE-E937A1DA9F7A}"/>
            </a:ext>
          </a:extLst>
        </xdr:cNvPr>
        <xdr:cNvSpPr/>
      </xdr:nvSpPr>
      <xdr:spPr>
        <a:xfrm>
          <a:off x="11996738" y="1626203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899</xdr:row>
      <xdr:rowOff>0</xdr:rowOff>
    </xdr:from>
    <xdr:to>
      <xdr:col>39</xdr:col>
      <xdr:colOff>82233</xdr:colOff>
      <xdr:row>899</xdr:row>
      <xdr:rowOff>114300</xdr:rowOff>
    </xdr:to>
    <xdr:sp macro="" textlink="">
      <xdr:nvSpPr>
        <xdr:cNvPr id="3783" name="Arrow: Down 3782">
          <a:extLst>
            <a:ext uri="{FF2B5EF4-FFF2-40B4-BE49-F238E27FC236}">
              <a16:creationId xmlns:a16="http://schemas.microsoft.com/office/drawing/2014/main" id="{637BFBB1-E930-46CA-AE3A-8DE413D63F30}"/>
            </a:ext>
          </a:extLst>
        </xdr:cNvPr>
        <xdr:cNvSpPr/>
      </xdr:nvSpPr>
      <xdr:spPr>
        <a:xfrm>
          <a:off x="11996738" y="1628013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900</xdr:row>
      <xdr:rowOff>0</xdr:rowOff>
    </xdr:from>
    <xdr:to>
      <xdr:col>71</xdr:col>
      <xdr:colOff>83820</xdr:colOff>
      <xdr:row>900</xdr:row>
      <xdr:rowOff>114300</xdr:rowOff>
    </xdr:to>
    <xdr:sp macro="" textlink="">
      <xdr:nvSpPr>
        <xdr:cNvPr id="3791" name="Arrow: Down 3790">
          <a:extLst>
            <a:ext uri="{FF2B5EF4-FFF2-40B4-BE49-F238E27FC236}">
              <a16:creationId xmlns:a16="http://schemas.microsoft.com/office/drawing/2014/main" id="{1BBF1556-6077-40C1-8E3B-70EB2CFCFD0C}"/>
            </a:ext>
          </a:extLst>
        </xdr:cNvPr>
        <xdr:cNvSpPr/>
      </xdr:nvSpPr>
      <xdr:spPr>
        <a:xfrm rot="10800000">
          <a:off x="22888575" y="1629822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899</xdr:row>
      <xdr:rowOff>0</xdr:rowOff>
    </xdr:from>
    <xdr:to>
      <xdr:col>71</xdr:col>
      <xdr:colOff>83820</xdr:colOff>
      <xdr:row>899</xdr:row>
      <xdr:rowOff>114300</xdr:rowOff>
    </xdr:to>
    <xdr:sp macro="" textlink="">
      <xdr:nvSpPr>
        <xdr:cNvPr id="3806" name="Arrow: Down 3805">
          <a:extLst>
            <a:ext uri="{FF2B5EF4-FFF2-40B4-BE49-F238E27FC236}">
              <a16:creationId xmlns:a16="http://schemas.microsoft.com/office/drawing/2014/main" id="{77BA253E-B1AE-474B-871A-2C073744AE86}"/>
            </a:ext>
          </a:extLst>
        </xdr:cNvPr>
        <xdr:cNvSpPr/>
      </xdr:nvSpPr>
      <xdr:spPr>
        <a:xfrm rot="10800000">
          <a:off x="22888575" y="1628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897</xdr:row>
      <xdr:rowOff>0</xdr:rowOff>
    </xdr:from>
    <xdr:to>
      <xdr:col>71</xdr:col>
      <xdr:colOff>83820</xdr:colOff>
      <xdr:row>897</xdr:row>
      <xdr:rowOff>114300</xdr:rowOff>
    </xdr:to>
    <xdr:sp macro="" textlink="">
      <xdr:nvSpPr>
        <xdr:cNvPr id="3809" name="Arrow: Down 3808">
          <a:extLst>
            <a:ext uri="{FF2B5EF4-FFF2-40B4-BE49-F238E27FC236}">
              <a16:creationId xmlns:a16="http://schemas.microsoft.com/office/drawing/2014/main" id="{5B4BB5D3-FFE5-434B-B10B-D0BA0C5B7208}"/>
            </a:ext>
          </a:extLst>
        </xdr:cNvPr>
        <xdr:cNvSpPr/>
      </xdr:nvSpPr>
      <xdr:spPr>
        <a:xfrm rot="10800000">
          <a:off x="22888575" y="1624393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896</xdr:row>
      <xdr:rowOff>0</xdr:rowOff>
    </xdr:from>
    <xdr:to>
      <xdr:col>71</xdr:col>
      <xdr:colOff>83820</xdr:colOff>
      <xdr:row>896</xdr:row>
      <xdr:rowOff>114300</xdr:rowOff>
    </xdr:to>
    <xdr:sp macro="" textlink="">
      <xdr:nvSpPr>
        <xdr:cNvPr id="3815" name="Arrow: Down 3814">
          <a:extLst>
            <a:ext uri="{FF2B5EF4-FFF2-40B4-BE49-F238E27FC236}">
              <a16:creationId xmlns:a16="http://schemas.microsoft.com/office/drawing/2014/main" id="{B29CFFFA-F292-4629-B9C9-2E73E7DE212C}"/>
            </a:ext>
          </a:extLst>
        </xdr:cNvPr>
        <xdr:cNvSpPr/>
      </xdr:nvSpPr>
      <xdr:spPr>
        <a:xfrm rot="10800000">
          <a:off x="22888575" y="1622583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895</xdr:row>
      <xdr:rowOff>0</xdr:rowOff>
    </xdr:from>
    <xdr:to>
      <xdr:col>71</xdr:col>
      <xdr:colOff>83820</xdr:colOff>
      <xdr:row>895</xdr:row>
      <xdr:rowOff>114300</xdr:rowOff>
    </xdr:to>
    <xdr:sp macro="" textlink="">
      <xdr:nvSpPr>
        <xdr:cNvPr id="3959" name="Arrow: Down 3958">
          <a:extLst>
            <a:ext uri="{FF2B5EF4-FFF2-40B4-BE49-F238E27FC236}">
              <a16:creationId xmlns:a16="http://schemas.microsoft.com/office/drawing/2014/main" id="{52833723-6F7D-4B7A-AFD0-9E6EFAD71BB9}"/>
            </a:ext>
          </a:extLst>
        </xdr:cNvPr>
        <xdr:cNvSpPr/>
      </xdr:nvSpPr>
      <xdr:spPr>
        <a:xfrm rot="10800000">
          <a:off x="22888575" y="16207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899</xdr:row>
      <xdr:rowOff>0</xdr:rowOff>
    </xdr:from>
    <xdr:to>
      <xdr:col>60</xdr:col>
      <xdr:colOff>83820</xdr:colOff>
      <xdr:row>899</xdr:row>
      <xdr:rowOff>114300</xdr:rowOff>
    </xdr:to>
    <xdr:sp macro="" textlink="">
      <xdr:nvSpPr>
        <xdr:cNvPr id="3960" name="Arrow: Down 3959">
          <a:extLst>
            <a:ext uri="{FF2B5EF4-FFF2-40B4-BE49-F238E27FC236}">
              <a16:creationId xmlns:a16="http://schemas.microsoft.com/office/drawing/2014/main" id="{BA1643A2-A468-4E14-82CA-C8B807F830A9}"/>
            </a:ext>
          </a:extLst>
        </xdr:cNvPr>
        <xdr:cNvSpPr/>
      </xdr:nvSpPr>
      <xdr:spPr>
        <a:xfrm rot="10800000">
          <a:off x="19897725" y="1628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897</xdr:row>
      <xdr:rowOff>0</xdr:rowOff>
    </xdr:from>
    <xdr:to>
      <xdr:col>60</xdr:col>
      <xdr:colOff>83820</xdr:colOff>
      <xdr:row>897</xdr:row>
      <xdr:rowOff>114300</xdr:rowOff>
    </xdr:to>
    <xdr:sp macro="" textlink="">
      <xdr:nvSpPr>
        <xdr:cNvPr id="3963" name="Arrow: Down 3962">
          <a:extLst>
            <a:ext uri="{FF2B5EF4-FFF2-40B4-BE49-F238E27FC236}">
              <a16:creationId xmlns:a16="http://schemas.microsoft.com/office/drawing/2014/main" id="{59EDF9D1-17BA-4822-97EC-4623196F8031}"/>
            </a:ext>
          </a:extLst>
        </xdr:cNvPr>
        <xdr:cNvSpPr/>
      </xdr:nvSpPr>
      <xdr:spPr>
        <a:xfrm rot="10800000">
          <a:off x="19897725" y="1624393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895</xdr:row>
      <xdr:rowOff>0</xdr:rowOff>
    </xdr:from>
    <xdr:to>
      <xdr:col>60</xdr:col>
      <xdr:colOff>83820</xdr:colOff>
      <xdr:row>895</xdr:row>
      <xdr:rowOff>114300</xdr:rowOff>
    </xdr:to>
    <xdr:sp macro="" textlink="">
      <xdr:nvSpPr>
        <xdr:cNvPr id="4040" name="Arrow: Down 4039">
          <a:extLst>
            <a:ext uri="{FF2B5EF4-FFF2-40B4-BE49-F238E27FC236}">
              <a16:creationId xmlns:a16="http://schemas.microsoft.com/office/drawing/2014/main" id="{3CDDDB8E-8258-49C8-A4B8-1F363180DAC8}"/>
            </a:ext>
          </a:extLst>
        </xdr:cNvPr>
        <xdr:cNvSpPr/>
      </xdr:nvSpPr>
      <xdr:spPr>
        <a:xfrm rot="10800000">
          <a:off x="19897725" y="16207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894</xdr:row>
      <xdr:rowOff>0</xdr:rowOff>
    </xdr:from>
    <xdr:to>
      <xdr:col>60</xdr:col>
      <xdr:colOff>83820</xdr:colOff>
      <xdr:row>894</xdr:row>
      <xdr:rowOff>114300</xdr:rowOff>
    </xdr:to>
    <xdr:sp macro="" textlink="">
      <xdr:nvSpPr>
        <xdr:cNvPr id="4074" name="Arrow: Down 4073">
          <a:extLst>
            <a:ext uri="{FF2B5EF4-FFF2-40B4-BE49-F238E27FC236}">
              <a16:creationId xmlns:a16="http://schemas.microsoft.com/office/drawing/2014/main" id="{75992740-1634-4F89-9A11-13B300C1B2DC}"/>
            </a:ext>
          </a:extLst>
        </xdr:cNvPr>
        <xdr:cNvSpPr/>
      </xdr:nvSpPr>
      <xdr:spPr>
        <a:xfrm rot="10800000">
          <a:off x="19897725" y="1618964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901</xdr:row>
      <xdr:rowOff>0</xdr:rowOff>
    </xdr:from>
    <xdr:to>
      <xdr:col>64</xdr:col>
      <xdr:colOff>83820</xdr:colOff>
      <xdr:row>901</xdr:row>
      <xdr:rowOff>114300</xdr:rowOff>
    </xdr:to>
    <xdr:sp macro="" textlink="">
      <xdr:nvSpPr>
        <xdr:cNvPr id="4192" name="Arrow: Down 4191">
          <a:extLst>
            <a:ext uri="{FF2B5EF4-FFF2-40B4-BE49-F238E27FC236}">
              <a16:creationId xmlns:a16="http://schemas.microsoft.com/office/drawing/2014/main" id="{58561A5E-2194-4F26-8964-C20DA7FC67C8}"/>
            </a:ext>
          </a:extLst>
        </xdr:cNvPr>
        <xdr:cNvSpPr/>
      </xdr:nvSpPr>
      <xdr:spPr>
        <a:xfrm rot="10800000">
          <a:off x="20173950" y="1629822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901</xdr:row>
      <xdr:rowOff>0</xdr:rowOff>
    </xdr:from>
    <xdr:to>
      <xdr:col>45</xdr:col>
      <xdr:colOff>83820</xdr:colOff>
      <xdr:row>901</xdr:row>
      <xdr:rowOff>114300</xdr:rowOff>
    </xdr:to>
    <xdr:sp macro="" textlink="">
      <xdr:nvSpPr>
        <xdr:cNvPr id="4382" name="Arrow: Down 4381">
          <a:extLst>
            <a:ext uri="{FF2B5EF4-FFF2-40B4-BE49-F238E27FC236}">
              <a16:creationId xmlns:a16="http://schemas.microsoft.com/office/drawing/2014/main" id="{5A47B4FE-C7F1-4705-AD97-C91D5176CAC8}"/>
            </a:ext>
          </a:extLst>
        </xdr:cNvPr>
        <xdr:cNvSpPr/>
      </xdr:nvSpPr>
      <xdr:spPr>
        <a:xfrm rot="10800000">
          <a:off x="13930313" y="1629822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901</xdr:row>
      <xdr:rowOff>0</xdr:rowOff>
    </xdr:from>
    <xdr:to>
      <xdr:col>60</xdr:col>
      <xdr:colOff>80646</xdr:colOff>
      <xdr:row>901</xdr:row>
      <xdr:rowOff>114300</xdr:rowOff>
    </xdr:to>
    <xdr:sp macro="" textlink="">
      <xdr:nvSpPr>
        <xdr:cNvPr id="4385" name="Arrow: Down 4384">
          <a:extLst>
            <a:ext uri="{FF2B5EF4-FFF2-40B4-BE49-F238E27FC236}">
              <a16:creationId xmlns:a16="http://schemas.microsoft.com/office/drawing/2014/main" id="{3AB5BEA0-605F-42C1-BE75-6515F65C6CE6}"/>
            </a:ext>
          </a:extLst>
        </xdr:cNvPr>
        <xdr:cNvSpPr/>
      </xdr:nvSpPr>
      <xdr:spPr>
        <a:xfrm>
          <a:off x="19897725" y="1629822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902</xdr:row>
      <xdr:rowOff>0</xdr:rowOff>
    </xdr:from>
    <xdr:to>
      <xdr:col>64</xdr:col>
      <xdr:colOff>83820</xdr:colOff>
      <xdr:row>902</xdr:row>
      <xdr:rowOff>114300</xdr:rowOff>
    </xdr:to>
    <xdr:sp macro="" textlink="">
      <xdr:nvSpPr>
        <xdr:cNvPr id="4624" name="Arrow: Down 4623">
          <a:extLst>
            <a:ext uri="{FF2B5EF4-FFF2-40B4-BE49-F238E27FC236}">
              <a16:creationId xmlns:a16="http://schemas.microsoft.com/office/drawing/2014/main" id="{1C198032-C454-48DF-BA86-E61D2B0DD7C5}"/>
            </a:ext>
          </a:extLst>
        </xdr:cNvPr>
        <xdr:cNvSpPr/>
      </xdr:nvSpPr>
      <xdr:spPr>
        <a:xfrm rot="10800000">
          <a:off x="20173950" y="1631632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902</xdr:row>
      <xdr:rowOff>0</xdr:rowOff>
    </xdr:from>
    <xdr:to>
      <xdr:col>45</xdr:col>
      <xdr:colOff>83820</xdr:colOff>
      <xdr:row>902</xdr:row>
      <xdr:rowOff>114300</xdr:rowOff>
    </xdr:to>
    <xdr:sp macro="" textlink="">
      <xdr:nvSpPr>
        <xdr:cNvPr id="4641" name="Arrow: Down 4640">
          <a:extLst>
            <a:ext uri="{FF2B5EF4-FFF2-40B4-BE49-F238E27FC236}">
              <a16:creationId xmlns:a16="http://schemas.microsoft.com/office/drawing/2014/main" id="{338A5E0E-85B7-41E2-A1F3-BB79BBA0F63F}"/>
            </a:ext>
          </a:extLst>
        </xdr:cNvPr>
        <xdr:cNvSpPr/>
      </xdr:nvSpPr>
      <xdr:spPr>
        <a:xfrm rot="10800000">
          <a:off x="13930313" y="1631632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902</xdr:row>
      <xdr:rowOff>0</xdr:rowOff>
    </xdr:from>
    <xdr:to>
      <xdr:col>71</xdr:col>
      <xdr:colOff>83820</xdr:colOff>
      <xdr:row>902</xdr:row>
      <xdr:rowOff>114300</xdr:rowOff>
    </xdr:to>
    <xdr:sp macro="" textlink="">
      <xdr:nvSpPr>
        <xdr:cNvPr id="4682" name="Arrow: Down 4681">
          <a:extLst>
            <a:ext uri="{FF2B5EF4-FFF2-40B4-BE49-F238E27FC236}">
              <a16:creationId xmlns:a16="http://schemas.microsoft.com/office/drawing/2014/main" id="{BC197E90-A021-4FE1-9630-0DF10BB88B4F}"/>
            </a:ext>
          </a:extLst>
        </xdr:cNvPr>
        <xdr:cNvSpPr/>
      </xdr:nvSpPr>
      <xdr:spPr>
        <a:xfrm rot="10800000">
          <a:off x="22888575" y="1631632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903</xdr:row>
      <xdr:rowOff>0</xdr:rowOff>
    </xdr:from>
    <xdr:to>
      <xdr:col>64</xdr:col>
      <xdr:colOff>83820</xdr:colOff>
      <xdr:row>903</xdr:row>
      <xdr:rowOff>114300</xdr:rowOff>
    </xdr:to>
    <xdr:sp macro="" textlink="">
      <xdr:nvSpPr>
        <xdr:cNvPr id="4717" name="Arrow: Down 4716">
          <a:extLst>
            <a:ext uri="{FF2B5EF4-FFF2-40B4-BE49-F238E27FC236}">
              <a16:creationId xmlns:a16="http://schemas.microsoft.com/office/drawing/2014/main" id="{705ED0AC-0B14-48FE-B129-A77B56862F90}"/>
            </a:ext>
          </a:extLst>
        </xdr:cNvPr>
        <xdr:cNvSpPr/>
      </xdr:nvSpPr>
      <xdr:spPr>
        <a:xfrm rot="10800000">
          <a:off x="20173950" y="1633442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903</xdr:row>
      <xdr:rowOff>0</xdr:rowOff>
    </xdr:from>
    <xdr:to>
      <xdr:col>24</xdr:col>
      <xdr:colOff>83820</xdr:colOff>
      <xdr:row>903</xdr:row>
      <xdr:rowOff>114300</xdr:rowOff>
    </xdr:to>
    <xdr:sp macro="" textlink="">
      <xdr:nvSpPr>
        <xdr:cNvPr id="4718" name="Arrow: Down 4717">
          <a:extLst>
            <a:ext uri="{FF2B5EF4-FFF2-40B4-BE49-F238E27FC236}">
              <a16:creationId xmlns:a16="http://schemas.microsoft.com/office/drawing/2014/main" id="{094BE2CB-9BAE-40FA-8A64-BA15F1593254}"/>
            </a:ext>
          </a:extLst>
        </xdr:cNvPr>
        <xdr:cNvSpPr/>
      </xdr:nvSpPr>
      <xdr:spPr>
        <a:xfrm>
          <a:off x="8662988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903</xdr:row>
      <xdr:rowOff>0</xdr:rowOff>
    </xdr:from>
    <xdr:to>
      <xdr:col>45</xdr:col>
      <xdr:colOff>83820</xdr:colOff>
      <xdr:row>903</xdr:row>
      <xdr:rowOff>114300</xdr:rowOff>
    </xdr:to>
    <xdr:sp macro="" textlink="">
      <xdr:nvSpPr>
        <xdr:cNvPr id="4721" name="Arrow: Down 4720">
          <a:extLst>
            <a:ext uri="{FF2B5EF4-FFF2-40B4-BE49-F238E27FC236}">
              <a16:creationId xmlns:a16="http://schemas.microsoft.com/office/drawing/2014/main" id="{7E5AED67-421D-4A41-967F-D4BF84793183}"/>
            </a:ext>
          </a:extLst>
        </xdr:cNvPr>
        <xdr:cNvSpPr/>
      </xdr:nvSpPr>
      <xdr:spPr>
        <a:xfrm rot="10800000">
          <a:off x="13930313" y="1633442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903</xdr:row>
      <xdr:rowOff>0</xdr:rowOff>
    </xdr:from>
    <xdr:to>
      <xdr:col>60</xdr:col>
      <xdr:colOff>80646</xdr:colOff>
      <xdr:row>903</xdr:row>
      <xdr:rowOff>114300</xdr:rowOff>
    </xdr:to>
    <xdr:sp macro="" textlink="">
      <xdr:nvSpPr>
        <xdr:cNvPr id="4723" name="Arrow: Down 4722">
          <a:extLst>
            <a:ext uri="{FF2B5EF4-FFF2-40B4-BE49-F238E27FC236}">
              <a16:creationId xmlns:a16="http://schemas.microsoft.com/office/drawing/2014/main" id="{DA84396A-3C85-476B-8FDD-122C94F6BB68}"/>
            </a:ext>
          </a:extLst>
        </xdr:cNvPr>
        <xdr:cNvSpPr/>
      </xdr:nvSpPr>
      <xdr:spPr>
        <a:xfrm>
          <a:off x="19897725" y="1633442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903</xdr:row>
      <xdr:rowOff>0</xdr:rowOff>
    </xdr:from>
    <xdr:to>
      <xdr:col>11</xdr:col>
      <xdr:colOff>83820</xdr:colOff>
      <xdr:row>903</xdr:row>
      <xdr:rowOff>114300</xdr:rowOff>
    </xdr:to>
    <xdr:sp macro="" textlink="">
      <xdr:nvSpPr>
        <xdr:cNvPr id="4730" name="Arrow: Down 4729">
          <a:extLst>
            <a:ext uri="{FF2B5EF4-FFF2-40B4-BE49-F238E27FC236}">
              <a16:creationId xmlns:a16="http://schemas.microsoft.com/office/drawing/2014/main" id="{5C37BDA4-C953-42B7-98D4-10CFA2BCC496}"/>
            </a:ext>
          </a:extLst>
        </xdr:cNvPr>
        <xdr:cNvSpPr/>
      </xdr:nvSpPr>
      <xdr:spPr>
        <a:xfrm>
          <a:off x="3843338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903</xdr:row>
      <xdr:rowOff>0</xdr:rowOff>
    </xdr:from>
    <xdr:to>
      <xdr:col>5</xdr:col>
      <xdr:colOff>83820</xdr:colOff>
      <xdr:row>903</xdr:row>
      <xdr:rowOff>114300</xdr:rowOff>
    </xdr:to>
    <xdr:sp macro="" textlink="">
      <xdr:nvSpPr>
        <xdr:cNvPr id="4732" name="Arrow: Down 4731">
          <a:extLst>
            <a:ext uri="{FF2B5EF4-FFF2-40B4-BE49-F238E27FC236}">
              <a16:creationId xmlns:a16="http://schemas.microsoft.com/office/drawing/2014/main" id="{C3A987A2-52B7-43E0-A955-06CC024F8B29}"/>
            </a:ext>
          </a:extLst>
        </xdr:cNvPr>
        <xdr:cNvSpPr/>
      </xdr:nvSpPr>
      <xdr:spPr>
        <a:xfrm>
          <a:off x="2005013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903</xdr:row>
      <xdr:rowOff>0</xdr:rowOff>
    </xdr:from>
    <xdr:to>
      <xdr:col>39</xdr:col>
      <xdr:colOff>82233</xdr:colOff>
      <xdr:row>903</xdr:row>
      <xdr:rowOff>114300</xdr:rowOff>
    </xdr:to>
    <xdr:sp macro="" textlink="">
      <xdr:nvSpPr>
        <xdr:cNvPr id="4735" name="Arrow: Down 4734">
          <a:extLst>
            <a:ext uri="{FF2B5EF4-FFF2-40B4-BE49-F238E27FC236}">
              <a16:creationId xmlns:a16="http://schemas.microsoft.com/office/drawing/2014/main" id="{F2CF3D01-F0CC-4A23-864C-F3B99347E1E6}"/>
            </a:ext>
          </a:extLst>
        </xdr:cNvPr>
        <xdr:cNvSpPr/>
      </xdr:nvSpPr>
      <xdr:spPr>
        <a:xfrm>
          <a:off x="11996738" y="1633442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903</xdr:row>
      <xdr:rowOff>0</xdr:rowOff>
    </xdr:from>
    <xdr:to>
      <xdr:col>71</xdr:col>
      <xdr:colOff>83820</xdr:colOff>
      <xdr:row>903</xdr:row>
      <xdr:rowOff>114300</xdr:rowOff>
    </xdr:to>
    <xdr:sp macro="" textlink="">
      <xdr:nvSpPr>
        <xdr:cNvPr id="4838" name="Arrow: Down 4837">
          <a:extLst>
            <a:ext uri="{FF2B5EF4-FFF2-40B4-BE49-F238E27FC236}">
              <a16:creationId xmlns:a16="http://schemas.microsoft.com/office/drawing/2014/main" id="{AC38546C-5388-4AA9-B42D-CF3B8F07BBB0}"/>
            </a:ext>
          </a:extLst>
        </xdr:cNvPr>
        <xdr:cNvSpPr/>
      </xdr:nvSpPr>
      <xdr:spPr>
        <a:xfrm rot="10800000">
          <a:off x="22888575" y="1633442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904</xdr:row>
      <xdr:rowOff>0</xdr:rowOff>
    </xdr:from>
    <xdr:to>
      <xdr:col>64</xdr:col>
      <xdr:colOff>83820</xdr:colOff>
      <xdr:row>904</xdr:row>
      <xdr:rowOff>114300</xdr:rowOff>
    </xdr:to>
    <xdr:sp macro="" textlink="">
      <xdr:nvSpPr>
        <xdr:cNvPr id="4842" name="Arrow: Down 4841">
          <a:extLst>
            <a:ext uri="{FF2B5EF4-FFF2-40B4-BE49-F238E27FC236}">
              <a16:creationId xmlns:a16="http://schemas.microsoft.com/office/drawing/2014/main" id="{6BF65D0B-F391-46C1-AF17-C46DEA16740C}"/>
            </a:ext>
          </a:extLst>
        </xdr:cNvPr>
        <xdr:cNvSpPr/>
      </xdr:nvSpPr>
      <xdr:spPr>
        <a:xfrm rot="10800000">
          <a:off x="20173950" y="1635252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904</xdr:row>
      <xdr:rowOff>0</xdr:rowOff>
    </xdr:from>
    <xdr:to>
      <xdr:col>24</xdr:col>
      <xdr:colOff>83820</xdr:colOff>
      <xdr:row>904</xdr:row>
      <xdr:rowOff>114300</xdr:rowOff>
    </xdr:to>
    <xdr:sp macro="" textlink="">
      <xdr:nvSpPr>
        <xdr:cNvPr id="4843" name="Arrow: Down 4842">
          <a:extLst>
            <a:ext uri="{FF2B5EF4-FFF2-40B4-BE49-F238E27FC236}">
              <a16:creationId xmlns:a16="http://schemas.microsoft.com/office/drawing/2014/main" id="{F01897F0-AD2D-4250-9FD1-CD3302810753}"/>
            </a:ext>
          </a:extLst>
        </xdr:cNvPr>
        <xdr:cNvSpPr/>
      </xdr:nvSpPr>
      <xdr:spPr>
        <a:xfrm>
          <a:off x="8662988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904</xdr:row>
      <xdr:rowOff>0</xdr:rowOff>
    </xdr:from>
    <xdr:to>
      <xdr:col>45</xdr:col>
      <xdr:colOff>83820</xdr:colOff>
      <xdr:row>904</xdr:row>
      <xdr:rowOff>114300</xdr:rowOff>
    </xdr:to>
    <xdr:sp macro="" textlink="">
      <xdr:nvSpPr>
        <xdr:cNvPr id="4844" name="Arrow: Down 4843">
          <a:extLst>
            <a:ext uri="{FF2B5EF4-FFF2-40B4-BE49-F238E27FC236}">
              <a16:creationId xmlns:a16="http://schemas.microsoft.com/office/drawing/2014/main" id="{FAA3BDDF-71C4-4756-8AB9-0C03214D6844}"/>
            </a:ext>
          </a:extLst>
        </xdr:cNvPr>
        <xdr:cNvSpPr/>
      </xdr:nvSpPr>
      <xdr:spPr>
        <a:xfrm rot="10800000">
          <a:off x="13930313" y="1635252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904</xdr:row>
      <xdr:rowOff>0</xdr:rowOff>
    </xdr:from>
    <xdr:to>
      <xdr:col>11</xdr:col>
      <xdr:colOff>83820</xdr:colOff>
      <xdr:row>904</xdr:row>
      <xdr:rowOff>114300</xdr:rowOff>
    </xdr:to>
    <xdr:sp macro="" textlink="">
      <xdr:nvSpPr>
        <xdr:cNvPr id="4847" name="Arrow: Down 4846">
          <a:extLst>
            <a:ext uri="{FF2B5EF4-FFF2-40B4-BE49-F238E27FC236}">
              <a16:creationId xmlns:a16="http://schemas.microsoft.com/office/drawing/2014/main" id="{142BE50C-EC13-4DC1-9009-FAA156EC8409}"/>
            </a:ext>
          </a:extLst>
        </xdr:cNvPr>
        <xdr:cNvSpPr/>
      </xdr:nvSpPr>
      <xdr:spPr>
        <a:xfrm>
          <a:off x="3843338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83820</xdr:colOff>
      <xdr:row>904</xdr:row>
      <xdr:rowOff>114300</xdr:rowOff>
    </xdr:to>
    <xdr:sp macro="" textlink="">
      <xdr:nvSpPr>
        <xdr:cNvPr id="4848" name="Arrow: Down 4847">
          <a:extLst>
            <a:ext uri="{FF2B5EF4-FFF2-40B4-BE49-F238E27FC236}">
              <a16:creationId xmlns:a16="http://schemas.microsoft.com/office/drawing/2014/main" id="{3E1164F3-50AB-425C-BFA6-2EFBB8677197}"/>
            </a:ext>
          </a:extLst>
        </xdr:cNvPr>
        <xdr:cNvSpPr/>
      </xdr:nvSpPr>
      <xdr:spPr>
        <a:xfrm>
          <a:off x="2005013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904</xdr:row>
      <xdr:rowOff>0</xdr:rowOff>
    </xdr:from>
    <xdr:to>
      <xdr:col>71</xdr:col>
      <xdr:colOff>83820</xdr:colOff>
      <xdr:row>904</xdr:row>
      <xdr:rowOff>114300</xdr:rowOff>
    </xdr:to>
    <xdr:sp macro="" textlink="">
      <xdr:nvSpPr>
        <xdr:cNvPr id="4870" name="Arrow: Down 4869">
          <a:extLst>
            <a:ext uri="{FF2B5EF4-FFF2-40B4-BE49-F238E27FC236}">
              <a16:creationId xmlns:a16="http://schemas.microsoft.com/office/drawing/2014/main" id="{DD1FE957-E04A-4773-AFAB-821FB4CC531D}"/>
            </a:ext>
          </a:extLst>
        </xdr:cNvPr>
        <xdr:cNvSpPr/>
      </xdr:nvSpPr>
      <xdr:spPr>
        <a:xfrm rot="10800000">
          <a:off x="22888575" y="163525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905</xdr:row>
      <xdr:rowOff>0</xdr:rowOff>
    </xdr:from>
    <xdr:to>
      <xdr:col>64</xdr:col>
      <xdr:colOff>83820</xdr:colOff>
      <xdr:row>905</xdr:row>
      <xdr:rowOff>114300</xdr:rowOff>
    </xdr:to>
    <xdr:sp macro="" textlink="">
      <xdr:nvSpPr>
        <xdr:cNvPr id="4873" name="Arrow: Down 4872">
          <a:extLst>
            <a:ext uri="{FF2B5EF4-FFF2-40B4-BE49-F238E27FC236}">
              <a16:creationId xmlns:a16="http://schemas.microsoft.com/office/drawing/2014/main" id="{7EB6D9AB-5528-4CD6-A1FC-6E33106DB807}"/>
            </a:ext>
          </a:extLst>
        </xdr:cNvPr>
        <xdr:cNvSpPr/>
      </xdr:nvSpPr>
      <xdr:spPr>
        <a:xfrm rot="10800000">
          <a:off x="20173950" y="163706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905</xdr:row>
      <xdr:rowOff>0</xdr:rowOff>
    </xdr:from>
    <xdr:to>
      <xdr:col>45</xdr:col>
      <xdr:colOff>83820</xdr:colOff>
      <xdr:row>905</xdr:row>
      <xdr:rowOff>114300</xdr:rowOff>
    </xdr:to>
    <xdr:sp macro="" textlink="">
      <xdr:nvSpPr>
        <xdr:cNvPr id="4876" name="Arrow: Down 4875">
          <a:extLst>
            <a:ext uri="{FF2B5EF4-FFF2-40B4-BE49-F238E27FC236}">
              <a16:creationId xmlns:a16="http://schemas.microsoft.com/office/drawing/2014/main" id="{20545443-1D8B-47E7-9587-854BD2050811}"/>
            </a:ext>
          </a:extLst>
        </xdr:cNvPr>
        <xdr:cNvSpPr/>
      </xdr:nvSpPr>
      <xdr:spPr>
        <a:xfrm rot="10800000">
          <a:off x="13930313" y="1637061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905</xdr:row>
      <xdr:rowOff>0</xdr:rowOff>
    </xdr:from>
    <xdr:to>
      <xdr:col>60</xdr:col>
      <xdr:colOff>80646</xdr:colOff>
      <xdr:row>905</xdr:row>
      <xdr:rowOff>114300</xdr:rowOff>
    </xdr:to>
    <xdr:sp macro="" textlink="">
      <xdr:nvSpPr>
        <xdr:cNvPr id="4887" name="Arrow: Down 4886">
          <a:extLst>
            <a:ext uri="{FF2B5EF4-FFF2-40B4-BE49-F238E27FC236}">
              <a16:creationId xmlns:a16="http://schemas.microsoft.com/office/drawing/2014/main" id="{4DEA6E2F-CEA2-4B24-92BB-F6150C0E692E}"/>
            </a:ext>
          </a:extLst>
        </xdr:cNvPr>
        <xdr:cNvSpPr/>
      </xdr:nvSpPr>
      <xdr:spPr>
        <a:xfrm>
          <a:off x="19897725" y="1637061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905</xdr:row>
      <xdr:rowOff>0</xdr:rowOff>
    </xdr:from>
    <xdr:to>
      <xdr:col>11</xdr:col>
      <xdr:colOff>83820</xdr:colOff>
      <xdr:row>905</xdr:row>
      <xdr:rowOff>114300</xdr:rowOff>
    </xdr:to>
    <xdr:sp macro="" textlink="">
      <xdr:nvSpPr>
        <xdr:cNvPr id="4891" name="Arrow: Down 4890">
          <a:extLst>
            <a:ext uri="{FF2B5EF4-FFF2-40B4-BE49-F238E27FC236}">
              <a16:creationId xmlns:a16="http://schemas.microsoft.com/office/drawing/2014/main" id="{A3F5874E-D8E6-43BA-875B-2727714B9ADF}"/>
            </a:ext>
          </a:extLst>
        </xdr:cNvPr>
        <xdr:cNvSpPr/>
      </xdr:nvSpPr>
      <xdr:spPr>
        <a:xfrm>
          <a:off x="3843338" y="1637061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905</xdr:row>
      <xdr:rowOff>0</xdr:rowOff>
    </xdr:from>
    <xdr:to>
      <xdr:col>5</xdr:col>
      <xdr:colOff>83820</xdr:colOff>
      <xdr:row>905</xdr:row>
      <xdr:rowOff>114300</xdr:rowOff>
    </xdr:to>
    <xdr:sp macro="" textlink="">
      <xdr:nvSpPr>
        <xdr:cNvPr id="4897" name="Arrow: Down 4896">
          <a:extLst>
            <a:ext uri="{FF2B5EF4-FFF2-40B4-BE49-F238E27FC236}">
              <a16:creationId xmlns:a16="http://schemas.microsoft.com/office/drawing/2014/main" id="{45295FCF-C429-4B43-A236-BCD556D81FD6}"/>
            </a:ext>
          </a:extLst>
        </xdr:cNvPr>
        <xdr:cNvSpPr/>
      </xdr:nvSpPr>
      <xdr:spPr>
        <a:xfrm>
          <a:off x="2005013" y="1637061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905</xdr:row>
      <xdr:rowOff>0</xdr:rowOff>
    </xdr:from>
    <xdr:to>
      <xdr:col>39</xdr:col>
      <xdr:colOff>82233</xdr:colOff>
      <xdr:row>905</xdr:row>
      <xdr:rowOff>114300</xdr:rowOff>
    </xdr:to>
    <xdr:sp macro="" textlink="">
      <xdr:nvSpPr>
        <xdr:cNvPr id="4919" name="Arrow: Down 4918">
          <a:extLst>
            <a:ext uri="{FF2B5EF4-FFF2-40B4-BE49-F238E27FC236}">
              <a16:creationId xmlns:a16="http://schemas.microsoft.com/office/drawing/2014/main" id="{01BF20D8-F882-43DB-A27B-BD202AD02230}"/>
            </a:ext>
          </a:extLst>
        </xdr:cNvPr>
        <xdr:cNvSpPr/>
      </xdr:nvSpPr>
      <xdr:spPr>
        <a:xfrm>
          <a:off x="11996738" y="163706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906</xdr:row>
      <xdr:rowOff>0</xdr:rowOff>
    </xdr:from>
    <xdr:to>
      <xdr:col>64</xdr:col>
      <xdr:colOff>83820</xdr:colOff>
      <xdr:row>906</xdr:row>
      <xdr:rowOff>114300</xdr:rowOff>
    </xdr:to>
    <xdr:sp macro="" textlink="">
      <xdr:nvSpPr>
        <xdr:cNvPr id="4944" name="Arrow: Down 4943">
          <a:extLst>
            <a:ext uri="{FF2B5EF4-FFF2-40B4-BE49-F238E27FC236}">
              <a16:creationId xmlns:a16="http://schemas.microsoft.com/office/drawing/2014/main" id="{01F7200A-FBB7-4AE7-A57B-A7E3101FCBB7}"/>
            </a:ext>
          </a:extLst>
        </xdr:cNvPr>
        <xdr:cNvSpPr/>
      </xdr:nvSpPr>
      <xdr:spPr>
        <a:xfrm rot="10800000">
          <a:off x="20173950" y="1638871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906</xdr:row>
      <xdr:rowOff>0</xdr:rowOff>
    </xdr:from>
    <xdr:to>
      <xdr:col>24</xdr:col>
      <xdr:colOff>83820</xdr:colOff>
      <xdr:row>906</xdr:row>
      <xdr:rowOff>114300</xdr:rowOff>
    </xdr:to>
    <xdr:sp macro="" textlink="">
      <xdr:nvSpPr>
        <xdr:cNvPr id="4946" name="Arrow: Down 4945">
          <a:extLst>
            <a:ext uri="{FF2B5EF4-FFF2-40B4-BE49-F238E27FC236}">
              <a16:creationId xmlns:a16="http://schemas.microsoft.com/office/drawing/2014/main" id="{6281E325-D268-42D7-92E5-13B97D3E790C}"/>
            </a:ext>
          </a:extLst>
        </xdr:cNvPr>
        <xdr:cNvSpPr/>
      </xdr:nvSpPr>
      <xdr:spPr>
        <a:xfrm>
          <a:off x="8662988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906</xdr:row>
      <xdr:rowOff>0</xdr:rowOff>
    </xdr:from>
    <xdr:to>
      <xdr:col>45</xdr:col>
      <xdr:colOff>83820</xdr:colOff>
      <xdr:row>906</xdr:row>
      <xdr:rowOff>114300</xdr:rowOff>
    </xdr:to>
    <xdr:sp macro="" textlink="">
      <xdr:nvSpPr>
        <xdr:cNvPr id="4948" name="Arrow: Down 4947">
          <a:extLst>
            <a:ext uri="{FF2B5EF4-FFF2-40B4-BE49-F238E27FC236}">
              <a16:creationId xmlns:a16="http://schemas.microsoft.com/office/drawing/2014/main" id="{513F35C3-FB5F-47F6-B286-DB9AED99F1E3}"/>
            </a:ext>
          </a:extLst>
        </xdr:cNvPr>
        <xdr:cNvSpPr/>
      </xdr:nvSpPr>
      <xdr:spPr>
        <a:xfrm rot="10800000">
          <a:off x="13930313" y="1638871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906</xdr:row>
      <xdr:rowOff>0</xdr:rowOff>
    </xdr:from>
    <xdr:to>
      <xdr:col>11</xdr:col>
      <xdr:colOff>83820</xdr:colOff>
      <xdr:row>906</xdr:row>
      <xdr:rowOff>114300</xdr:rowOff>
    </xdr:to>
    <xdr:sp macro="" textlink="">
      <xdr:nvSpPr>
        <xdr:cNvPr id="4952" name="Arrow: Down 4951">
          <a:extLst>
            <a:ext uri="{FF2B5EF4-FFF2-40B4-BE49-F238E27FC236}">
              <a16:creationId xmlns:a16="http://schemas.microsoft.com/office/drawing/2014/main" id="{60A02BB8-3034-40BF-A8A0-9D81164897AC}"/>
            </a:ext>
          </a:extLst>
        </xdr:cNvPr>
        <xdr:cNvSpPr/>
      </xdr:nvSpPr>
      <xdr:spPr>
        <a:xfrm>
          <a:off x="3843338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906</xdr:row>
      <xdr:rowOff>0</xdr:rowOff>
    </xdr:from>
    <xdr:to>
      <xdr:col>5</xdr:col>
      <xdr:colOff>83820</xdr:colOff>
      <xdr:row>906</xdr:row>
      <xdr:rowOff>114300</xdr:rowOff>
    </xdr:to>
    <xdr:sp macro="" textlink="">
      <xdr:nvSpPr>
        <xdr:cNvPr id="4960" name="Arrow: Down 4959">
          <a:extLst>
            <a:ext uri="{FF2B5EF4-FFF2-40B4-BE49-F238E27FC236}">
              <a16:creationId xmlns:a16="http://schemas.microsoft.com/office/drawing/2014/main" id="{6036E866-B466-4E41-B83C-01124BC047C6}"/>
            </a:ext>
          </a:extLst>
        </xdr:cNvPr>
        <xdr:cNvSpPr/>
      </xdr:nvSpPr>
      <xdr:spPr>
        <a:xfrm>
          <a:off x="2005013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906</xdr:row>
      <xdr:rowOff>0</xdr:rowOff>
    </xdr:from>
    <xdr:to>
      <xdr:col>39</xdr:col>
      <xdr:colOff>82233</xdr:colOff>
      <xdr:row>906</xdr:row>
      <xdr:rowOff>114300</xdr:rowOff>
    </xdr:to>
    <xdr:sp macro="" textlink="">
      <xdr:nvSpPr>
        <xdr:cNvPr id="4989" name="Arrow: Down 4988">
          <a:extLst>
            <a:ext uri="{FF2B5EF4-FFF2-40B4-BE49-F238E27FC236}">
              <a16:creationId xmlns:a16="http://schemas.microsoft.com/office/drawing/2014/main" id="{39011BB0-8ED9-4FD2-8C43-1FC78500BAF9}"/>
            </a:ext>
          </a:extLst>
        </xdr:cNvPr>
        <xdr:cNvSpPr/>
      </xdr:nvSpPr>
      <xdr:spPr>
        <a:xfrm>
          <a:off x="11996738" y="1638871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906</xdr:row>
      <xdr:rowOff>0</xdr:rowOff>
    </xdr:from>
    <xdr:to>
      <xdr:col>71</xdr:col>
      <xdr:colOff>83820</xdr:colOff>
      <xdr:row>906</xdr:row>
      <xdr:rowOff>114300</xdr:rowOff>
    </xdr:to>
    <xdr:sp macro="" textlink="">
      <xdr:nvSpPr>
        <xdr:cNvPr id="4992" name="Arrow: Down 4991">
          <a:extLst>
            <a:ext uri="{FF2B5EF4-FFF2-40B4-BE49-F238E27FC236}">
              <a16:creationId xmlns:a16="http://schemas.microsoft.com/office/drawing/2014/main" id="{9B6785EF-D291-4C28-8CDF-99893CA3D5DE}"/>
            </a:ext>
          </a:extLst>
        </xdr:cNvPr>
        <xdr:cNvSpPr/>
      </xdr:nvSpPr>
      <xdr:spPr>
        <a:xfrm rot="10800000">
          <a:off x="22888575" y="1638871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907</xdr:row>
      <xdr:rowOff>0</xdr:rowOff>
    </xdr:from>
    <xdr:to>
      <xdr:col>64</xdr:col>
      <xdr:colOff>83820</xdr:colOff>
      <xdr:row>907</xdr:row>
      <xdr:rowOff>114300</xdr:rowOff>
    </xdr:to>
    <xdr:sp macro="" textlink="">
      <xdr:nvSpPr>
        <xdr:cNvPr id="5090" name="Arrow: Down 5089">
          <a:extLst>
            <a:ext uri="{FF2B5EF4-FFF2-40B4-BE49-F238E27FC236}">
              <a16:creationId xmlns:a16="http://schemas.microsoft.com/office/drawing/2014/main" id="{AAB3CDD3-4DC6-47B9-ADF7-08CE95FE6CC8}"/>
            </a:ext>
          </a:extLst>
        </xdr:cNvPr>
        <xdr:cNvSpPr/>
      </xdr:nvSpPr>
      <xdr:spPr>
        <a:xfrm rot="10800000">
          <a:off x="20173950" y="164068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907</xdr:row>
      <xdr:rowOff>0</xdr:rowOff>
    </xdr:from>
    <xdr:to>
      <xdr:col>24</xdr:col>
      <xdr:colOff>83820</xdr:colOff>
      <xdr:row>907</xdr:row>
      <xdr:rowOff>114300</xdr:rowOff>
    </xdr:to>
    <xdr:sp macro="" textlink="">
      <xdr:nvSpPr>
        <xdr:cNvPr id="5098" name="Arrow: Down 5097">
          <a:extLst>
            <a:ext uri="{FF2B5EF4-FFF2-40B4-BE49-F238E27FC236}">
              <a16:creationId xmlns:a16="http://schemas.microsoft.com/office/drawing/2014/main" id="{B7E2A522-3B76-486A-953C-9CF8AD773208}"/>
            </a:ext>
          </a:extLst>
        </xdr:cNvPr>
        <xdr:cNvSpPr/>
      </xdr:nvSpPr>
      <xdr:spPr>
        <a:xfrm>
          <a:off x="8662988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907</xdr:row>
      <xdr:rowOff>0</xdr:rowOff>
    </xdr:from>
    <xdr:to>
      <xdr:col>45</xdr:col>
      <xdr:colOff>83820</xdr:colOff>
      <xdr:row>907</xdr:row>
      <xdr:rowOff>114300</xdr:rowOff>
    </xdr:to>
    <xdr:sp macro="" textlink="">
      <xdr:nvSpPr>
        <xdr:cNvPr id="5105" name="Arrow: Down 5104">
          <a:extLst>
            <a:ext uri="{FF2B5EF4-FFF2-40B4-BE49-F238E27FC236}">
              <a16:creationId xmlns:a16="http://schemas.microsoft.com/office/drawing/2014/main" id="{C9B794CA-C4B3-4838-A02C-11595ECCCB23}"/>
            </a:ext>
          </a:extLst>
        </xdr:cNvPr>
        <xdr:cNvSpPr/>
      </xdr:nvSpPr>
      <xdr:spPr>
        <a:xfrm rot="10800000">
          <a:off x="13930313" y="1640681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907</xdr:row>
      <xdr:rowOff>0</xdr:rowOff>
    </xdr:from>
    <xdr:to>
      <xdr:col>60</xdr:col>
      <xdr:colOff>80646</xdr:colOff>
      <xdr:row>907</xdr:row>
      <xdr:rowOff>114300</xdr:rowOff>
    </xdr:to>
    <xdr:sp macro="" textlink="">
      <xdr:nvSpPr>
        <xdr:cNvPr id="5111" name="Arrow: Down 5110">
          <a:extLst>
            <a:ext uri="{FF2B5EF4-FFF2-40B4-BE49-F238E27FC236}">
              <a16:creationId xmlns:a16="http://schemas.microsoft.com/office/drawing/2014/main" id="{CC6D2288-6015-423C-A873-027FB8179144}"/>
            </a:ext>
          </a:extLst>
        </xdr:cNvPr>
        <xdr:cNvSpPr/>
      </xdr:nvSpPr>
      <xdr:spPr>
        <a:xfrm>
          <a:off x="19897725" y="1640681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907</xdr:row>
      <xdr:rowOff>0</xdr:rowOff>
    </xdr:from>
    <xdr:to>
      <xdr:col>11</xdr:col>
      <xdr:colOff>83820</xdr:colOff>
      <xdr:row>907</xdr:row>
      <xdr:rowOff>114300</xdr:rowOff>
    </xdr:to>
    <xdr:sp macro="" textlink="">
      <xdr:nvSpPr>
        <xdr:cNvPr id="5114" name="Arrow: Down 5113">
          <a:extLst>
            <a:ext uri="{FF2B5EF4-FFF2-40B4-BE49-F238E27FC236}">
              <a16:creationId xmlns:a16="http://schemas.microsoft.com/office/drawing/2014/main" id="{287E46AD-89AF-4B3A-8D2C-D66D7D5F4671}"/>
            </a:ext>
          </a:extLst>
        </xdr:cNvPr>
        <xdr:cNvSpPr/>
      </xdr:nvSpPr>
      <xdr:spPr>
        <a:xfrm>
          <a:off x="3843338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907</xdr:row>
      <xdr:rowOff>0</xdr:rowOff>
    </xdr:from>
    <xdr:to>
      <xdr:col>5</xdr:col>
      <xdr:colOff>83820</xdr:colOff>
      <xdr:row>907</xdr:row>
      <xdr:rowOff>114300</xdr:rowOff>
    </xdr:to>
    <xdr:sp macro="" textlink="">
      <xdr:nvSpPr>
        <xdr:cNvPr id="5116" name="Arrow: Down 5115">
          <a:extLst>
            <a:ext uri="{FF2B5EF4-FFF2-40B4-BE49-F238E27FC236}">
              <a16:creationId xmlns:a16="http://schemas.microsoft.com/office/drawing/2014/main" id="{F23A0397-0D82-4E66-B236-1DD0546DEE9D}"/>
            </a:ext>
          </a:extLst>
        </xdr:cNvPr>
        <xdr:cNvSpPr/>
      </xdr:nvSpPr>
      <xdr:spPr>
        <a:xfrm>
          <a:off x="2005013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907</xdr:row>
      <xdr:rowOff>0</xdr:rowOff>
    </xdr:from>
    <xdr:to>
      <xdr:col>71</xdr:col>
      <xdr:colOff>83820</xdr:colOff>
      <xdr:row>907</xdr:row>
      <xdr:rowOff>114300</xdr:rowOff>
    </xdr:to>
    <xdr:sp macro="" textlink="">
      <xdr:nvSpPr>
        <xdr:cNvPr id="5144" name="Arrow: Down 5143">
          <a:extLst>
            <a:ext uri="{FF2B5EF4-FFF2-40B4-BE49-F238E27FC236}">
              <a16:creationId xmlns:a16="http://schemas.microsoft.com/office/drawing/2014/main" id="{A0ACDA7A-1210-4E39-BF8D-6ECD1D35D388}"/>
            </a:ext>
          </a:extLst>
        </xdr:cNvPr>
        <xdr:cNvSpPr/>
      </xdr:nvSpPr>
      <xdr:spPr>
        <a:xfrm rot="10800000">
          <a:off x="22888575" y="1640681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901</xdr:row>
      <xdr:rowOff>0</xdr:rowOff>
    </xdr:from>
    <xdr:to>
      <xdr:col>71</xdr:col>
      <xdr:colOff>80646</xdr:colOff>
      <xdr:row>901</xdr:row>
      <xdr:rowOff>114300</xdr:rowOff>
    </xdr:to>
    <xdr:sp macro="" textlink="">
      <xdr:nvSpPr>
        <xdr:cNvPr id="5183" name="Arrow: Down 5182">
          <a:extLst>
            <a:ext uri="{FF2B5EF4-FFF2-40B4-BE49-F238E27FC236}">
              <a16:creationId xmlns:a16="http://schemas.microsoft.com/office/drawing/2014/main" id="{96E509AC-1E30-411F-9009-4C7061288B59}"/>
            </a:ext>
          </a:extLst>
        </xdr:cNvPr>
        <xdr:cNvSpPr/>
      </xdr:nvSpPr>
      <xdr:spPr>
        <a:xfrm>
          <a:off x="22888575" y="1631632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905</xdr:row>
      <xdr:rowOff>0</xdr:rowOff>
    </xdr:from>
    <xdr:to>
      <xdr:col>71</xdr:col>
      <xdr:colOff>80646</xdr:colOff>
      <xdr:row>905</xdr:row>
      <xdr:rowOff>114300</xdr:rowOff>
    </xdr:to>
    <xdr:sp macro="" textlink="">
      <xdr:nvSpPr>
        <xdr:cNvPr id="5185" name="Arrow: Down 5184">
          <a:extLst>
            <a:ext uri="{FF2B5EF4-FFF2-40B4-BE49-F238E27FC236}">
              <a16:creationId xmlns:a16="http://schemas.microsoft.com/office/drawing/2014/main" id="{E384245F-5A5F-42AB-A667-2F118675DB3A}"/>
            </a:ext>
          </a:extLst>
        </xdr:cNvPr>
        <xdr:cNvSpPr/>
      </xdr:nvSpPr>
      <xdr:spPr>
        <a:xfrm>
          <a:off x="22888575" y="1638871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906</xdr:row>
      <xdr:rowOff>0</xdr:rowOff>
    </xdr:from>
    <xdr:to>
      <xdr:col>60</xdr:col>
      <xdr:colOff>83820</xdr:colOff>
      <xdr:row>906</xdr:row>
      <xdr:rowOff>114300</xdr:rowOff>
    </xdr:to>
    <xdr:sp macro="" textlink="">
      <xdr:nvSpPr>
        <xdr:cNvPr id="5207" name="Arrow: Down 5206">
          <a:extLst>
            <a:ext uri="{FF2B5EF4-FFF2-40B4-BE49-F238E27FC236}">
              <a16:creationId xmlns:a16="http://schemas.microsoft.com/office/drawing/2014/main" id="{FD3C3C9C-96DC-4E24-B6E3-DA179E931CCB}"/>
            </a:ext>
          </a:extLst>
        </xdr:cNvPr>
        <xdr:cNvSpPr/>
      </xdr:nvSpPr>
      <xdr:spPr>
        <a:xfrm rot="10800000">
          <a:off x="19897725" y="1640681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904</xdr:row>
      <xdr:rowOff>0</xdr:rowOff>
    </xdr:from>
    <xdr:to>
      <xdr:col>60</xdr:col>
      <xdr:colOff>83820</xdr:colOff>
      <xdr:row>904</xdr:row>
      <xdr:rowOff>114300</xdr:rowOff>
    </xdr:to>
    <xdr:sp macro="" textlink="">
      <xdr:nvSpPr>
        <xdr:cNvPr id="5209" name="Arrow: Down 5208">
          <a:extLst>
            <a:ext uri="{FF2B5EF4-FFF2-40B4-BE49-F238E27FC236}">
              <a16:creationId xmlns:a16="http://schemas.microsoft.com/office/drawing/2014/main" id="{C27E43A4-5E3F-413E-BC60-EABB7C161945}"/>
            </a:ext>
          </a:extLst>
        </xdr:cNvPr>
        <xdr:cNvSpPr/>
      </xdr:nvSpPr>
      <xdr:spPr>
        <a:xfrm rot="10800000">
          <a:off x="19897725" y="1637061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902</xdr:row>
      <xdr:rowOff>0</xdr:rowOff>
    </xdr:from>
    <xdr:to>
      <xdr:col>60</xdr:col>
      <xdr:colOff>83820</xdr:colOff>
      <xdr:row>902</xdr:row>
      <xdr:rowOff>114300</xdr:rowOff>
    </xdr:to>
    <xdr:sp macro="" textlink="">
      <xdr:nvSpPr>
        <xdr:cNvPr id="5210" name="Arrow: Down 5209">
          <a:extLst>
            <a:ext uri="{FF2B5EF4-FFF2-40B4-BE49-F238E27FC236}">
              <a16:creationId xmlns:a16="http://schemas.microsoft.com/office/drawing/2014/main" id="{64519667-80F0-43C3-9262-35805BCD74BA}"/>
            </a:ext>
          </a:extLst>
        </xdr:cNvPr>
        <xdr:cNvSpPr/>
      </xdr:nvSpPr>
      <xdr:spPr>
        <a:xfrm rot="10800000">
          <a:off x="19897725" y="1633442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907</xdr:row>
      <xdr:rowOff>0</xdr:rowOff>
    </xdr:from>
    <xdr:to>
      <xdr:col>39</xdr:col>
      <xdr:colOff>80646</xdr:colOff>
      <xdr:row>907</xdr:row>
      <xdr:rowOff>114300</xdr:rowOff>
    </xdr:to>
    <xdr:sp macro="" textlink="">
      <xdr:nvSpPr>
        <xdr:cNvPr id="5212" name="Arrow: Down 5211">
          <a:extLst>
            <a:ext uri="{FF2B5EF4-FFF2-40B4-BE49-F238E27FC236}">
              <a16:creationId xmlns:a16="http://schemas.microsoft.com/office/drawing/2014/main" id="{2929E9EE-C077-4D59-B3E1-3203299A0DDF}"/>
            </a:ext>
          </a:extLst>
        </xdr:cNvPr>
        <xdr:cNvSpPr/>
      </xdr:nvSpPr>
      <xdr:spPr>
        <a:xfrm rot="10800000">
          <a:off x="11996738" y="1642491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904</xdr:row>
      <xdr:rowOff>0</xdr:rowOff>
    </xdr:from>
    <xdr:to>
      <xdr:col>39</xdr:col>
      <xdr:colOff>80646</xdr:colOff>
      <xdr:row>904</xdr:row>
      <xdr:rowOff>114300</xdr:rowOff>
    </xdr:to>
    <xdr:sp macro="" textlink="">
      <xdr:nvSpPr>
        <xdr:cNvPr id="5224" name="Arrow: Down 5223">
          <a:extLst>
            <a:ext uri="{FF2B5EF4-FFF2-40B4-BE49-F238E27FC236}">
              <a16:creationId xmlns:a16="http://schemas.microsoft.com/office/drawing/2014/main" id="{D322B0EC-2A9F-41AC-B9AC-BB145AEF74E7}"/>
            </a:ext>
          </a:extLst>
        </xdr:cNvPr>
        <xdr:cNvSpPr/>
      </xdr:nvSpPr>
      <xdr:spPr>
        <a:xfrm rot="10800000">
          <a:off x="11996738" y="1637061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902</xdr:row>
      <xdr:rowOff>0</xdr:rowOff>
    </xdr:from>
    <xdr:to>
      <xdr:col>39</xdr:col>
      <xdr:colOff>80646</xdr:colOff>
      <xdr:row>902</xdr:row>
      <xdr:rowOff>114300</xdr:rowOff>
    </xdr:to>
    <xdr:sp macro="" textlink="">
      <xdr:nvSpPr>
        <xdr:cNvPr id="5341" name="Arrow: Down 5340">
          <a:extLst>
            <a:ext uri="{FF2B5EF4-FFF2-40B4-BE49-F238E27FC236}">
              <a16:creationId xmlns:a16="http://schemas.microsoft.com/office/drawing/2014/main" id="{8B778A32-C422-4A56-A236-9D52906501AB}"/>
            </a:ext>
          </a:extLst>
        </xdr:cNvPr>
        <xdr:cNvSpPr/>
      </xdr:nvSpPr>
      <xdr:spPr>
        <a:xfrm rot="10800000">
          <a:off x="11996738" y="1633442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901</xdr:row>
      <xdr:rowOff>0</xdr:rowOff>
    </xdr:from>
    <xdr:to>
      <xdr:col>39</xdr:col>
      <xdr:colOff>80646</xdr:colOff>
      <xdr:row>901</xdr:row>
      <xdr:rowOff>114300</xdr:rowOff>
    </xdr:to>
    <xdr:sp macro="" textlink="">
      <xdr:nvSpPr>
        <xdr:cNvPr id="5358" name="Arrow: Down 5357">
          <a:extLst>
            <a:ext uri="{FF2B5EF4-FFF2-40B4-BE49-F238E27FC236}">
              <a16:creationId xmlns:a16="http://schemas.microsoft.com/office/drawing/2014/main" id="{0F76C422-3008-49A0-A3BE-67D81A7E40B5}"/>
            </a:ext>
          </a:extLst>
        </xdr:cNvPr>
        <xdr:cNvSpPr/>
      </xdr:nvSpPr>
      <xdr:spPr>
        <a:xfrm rot="10800000">
          <a:off x="11996738" y="1631632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905</xdr:row>
      <xdr:rowOff>0</xdr:rowOff>
    </xdr:from>
    <xdr:to>
      <xdr:col>24</xdr:col>
      <xdr:colOff>82235</xdr:colOff>
      <xdr:row>905</xdr:row>
      <xdr:rowOff>114300</xdr:rowOff>
    </xdr:to>
    <xdr:sp macro="" textlink="">
      <xdr:nvSpPr>
        <xdr:cNvPr id="5366" name="Arrow: Down 5365">
          <a:extLst>
            <a:ext uri="{FF2B5EF4-FFF2-40B4-BE49-F238E27FC236}">
              <a16:creationId xmlns:a16="http://schemas.microsoft.com/office/drawing/2014/main" id="{C6F3AE6E-A832-475D-9DA5-99A36077D5E4}"/>
            </a:ext>
          </a:extLst>
        </xdr:cNvPr>
        <xdr:cNvSpPr/>
      </xdr:nvSpPr>
      <xdr:spPr>
        <a:xfrm rot="10800000">
          <a:off x="8662988" y="1638871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902</xdr:row>
      <xdr:rowOff>0</xdr:rowOff>
    </xdr:from>
    <xdr:to>
      <xdr:col>24</xdr:col>
      <xdr:colOff>82235</xdr:colOff>
      <xdr:row>902</xdr:row>
      <xdr:rowOff>114300</xdr:rowOff>
    </xdr:to>
    <xdr:sp macro="" textlink="">
      <xdr:nvSpPr>
        <xdr:cNvPr id="5380" name="Arrow: Down 5379">
          <a:extLst>
            <a:ext uri="{FF2B5EF4-FFF2-40B4-BE49-F238E27FC236}">
              <a16:creationId xmlns:a16="http://schemas.microsoft.com/office/drawing/2014/main" id="{A1B611CA-1C09-4F3B-B107-0A49F3D725CA}"/>
            </a:ext>
          </a:extLst>
        </xdr:cNvPr>
        <xdr:cNvSpPr/>
      </xdr:nvSpPr>
      <xdr:spPr>
        <a:xfrm rot="10800000">
          <a:off x="8662988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901</xdr:row>
      <xdr:rowOff>0</xdr:rowOff>
    </xdr:from>
    <xdr:to>
      <xdr:col>24</xdr:col>
      <xdr:colOff>82235</xdr:colOff>
      <xdr:row>901</xdr:row>
      <xdr:rowOff>114300</xdr:rowOff>
    </xdr:to>
    <xdr:sp macro="" textlink="">
      <xdr:nvSpPr>
        <xdr:cNvPr id="5431" name="Arrow: Down 5430">
          <a:extLst>
            <a:ext uri="{FF2B5EF4-FFF2-40B4-BE49-F238E27FC236}">
              <a16:creationId xmlns:a16="http://schemas.microsoft.com/office/drawing/2014/main" id="{99A530BA-DBE6-4C61-AE11-AF3748C5F12E}"/>
            </a:ext>
          </a:extLst>
        </xdr:cNvPr>
        <xdr:cNvSpPr/>
      </xdr:nvSpPr>
      <xdr:spPr>
        <a:xfrm rot="10800000">
          <a:off x="8662988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902</xdr:row>
      <xdr:rowOff>0</xdr:rowOff>
    </xdr:from>
    <xdr:to>
      <xdr:col>11</xdr:col>
      <xdr:colOff>82235</xdr:colOff>
      <xdr:row>902</xdr:row>
      <xdr:rowOff>114300</xdr:rowOff>
    </xdr:to>
    <xdr:sp macro="" textlink="">
      <xdr:nvSpPr>
        <xdr:cNvPr id="5457" name="Arrow: Down 5456">
          <a:extLst>
            <a:ext uri="{FF2B5EF4-FFF2-40B4-BE49-F238E27FC236}">
              <a16:creationId xmlns:a16="http://schemas.microsoft.com/office/drawing/2014/main" id="{070A1AFA-DB88-4BAF-855E-D296705B2E96}"/>
            </a:ext>
          </a:extLst>
        </xdr:cNvPr>
        <xdr:cNvSpPr/>
      </xdr:nvSpPr>
      <xdr:spPr>
        <a:xfrm rot="10800000">
          <a:off x="3843338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901</xdr:row>
      <xdr:rowOff>0</xdr:rowOff>
    </xdr:from>
    <xdr:to>
      <xdr:col>11</xdr:col>
      <xdr:colOff>82235</xdr:colOff>
      <xdr:row>901</xdr:row>
      <xdr:rowOff>114300</xdr:rowOff>
    </xdr:to>
    <xdr:sp macro="" textlink="">
      <xdr:nvSpPr>
        <xdr:cNvPr id="5501" name="Arrow: Down 5500">
          <a:extLst>
            <a:ext uri="{FF2B5EF4-FFF2-40B4-BE49-F238E27FC236}">
              <a16:creationId xmlns:a16="http://schemas.microsoft.com/office/drawing/2014/main" id="{9B70FB9F-B33B-465E-BA35-C9A0FF30F345}"/>
            </a:ext>
          </a:extLst>
        </xdr:cNvPr>
        <xdr:cNvSpPr/>
      </xdr:nvSpPr>
      <xdr:spPr>
        <a:xfrm rot="10800000">
          <a:off x="3843338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902</xdr:row>
      <xdr:rowOff>0</xdr:rowOff>
    </xdr:from>
    <xdr:to>
      <xdr:col>5</xdr:col>
      <xdr:colOff>82235</xdr:colOff>
      <xdr:row>902</xdr:row>
      <xdr:rowOff>114300</xdr:rowOff>
    </xdr:to>
    <xdr:sp macro="" textlink="">
      <xdr:nvSpPr>
        <xdr:cNvPr id="5503" name="Arrow: Down 5502">
          <a:extLst>
            <a:ext uri="{FF2B5EF4-FFF2-40B4-BE49-F238E27FC236}">
              <a16:creationId xmlns:a16="http://schemas.microsoft.com/office/drawing/2014/main" id="{11A559B7-F0FC-4FAF-A737-93C00DB9CF23}"/>
            </a:ext>
          </a:extLst>
        </xdr:cNvPr>
        <xdr:cNvSpPr/>
      </xdr:nvSpPr>
      <xdr:spPr>
        <a:xfrm rot="10800000">
          <a:off x="2005013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901</xdr:row>
      <xdr:rowOff>0</xdr:rowOff>
    </xdr:from>
    <xdr:to>
      <xdr:col>5</xdr:col>
      <xdr:colOff>82235</xdr:colOff>
      <xdr:row>901</xdr:row>
      <xdr:rowOff>114300</xdr:rowOff>
    </xdr:to>
    <xdr:sp macro="" textlink="">
      <xdr:nvSpPr>
        <xdr:cNvPr id="5506" name="Arrow: Down 5505">
          <a:extLst>
            <a:ext uri="{FF2B5EF4-FFF2-40B4-BE49-F238E27FC236}">
              <a16:creationId xmlns:a16="http://schemas.microsoft.com/office/drawing/2014/main" id="{ABC04BF4-F4A9-4BA8-8304-949C9448C637}"/>
            </a:ext>
          </a:extLst>
        </xdr:cNvPr>
        <xdr:cNvSpPr/>
      </xdr:nvSpPr>
      <xdr:spPr>
        <a:xfrm rot="10800000">
          <a:off x="2005013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855</xdr:row>
      <xdr:rowOff>0</xdr:rowOff>
    </xdr:from>
    <xdr:to>
      <xdr:col>14</xdr:col>
      <xdr:colOff>83820</xdr:colOff>
      <xdr:row>855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8679CBC5-EBAE-48C6-9C09-9AE294B662DC}"/>
            </a:ext>
          </a:extLst>
        </xdr:cNvPr>
        <xdr:cNvSpPr/>
      </xdr:nvSpPr>
      <xdr:spPr>
        <a:xfrm>
          <a:off x="5505450" y="1300781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857</xdr:row>
      <xdr:rowOff>0</xdr:rowOff>
    </xdr:from>
    <xdr:to>
      <xdr:col>14</xdr:col>
      <xdr:colOff>83820</xdr:colOff>
      <xdr:row>857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D477A3FB-BFC2-4A96-823B-4FCC22430E96}"/>
            </a:ext>
          </a:extLst>
        </xdr:cNvPr>
        <xdr:cNvSpPr/>
      </xdr:nvSpPr>
      <xdr:spPr>
        <a:xfrm>
          <a:off x="5505450" y="1304496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859</xdr:row>
      <xdr:rowOff>0</xdr:rowOff>
    </xdr:from>
    <xdr:to>
      <xdr:col>14</xdr:col>
      <xdr:colOff>83820</xdr:colOff>
      <xdr:row>859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3D14B3F4-72CA-4849-8162-E8D264D35373}"/>
            </a:ext>
          </a:extLst>
        </xdr:cNvPr>
        <xdr:cNvSpPr/>
      </xdr:nvSpPr>
      <xdr:spPr>
        <a:xfrm>
          <a:off x="5505450" y="1308211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853</xdr:row>
      <xdr:rowOff>0</xdr:rowOff>
    </xdr:from>
    <xdr:to>
      <xdr:col>14</xdr:col>
      <xdr:colOff>82233</xdr:colOff>
      <xdr:row>853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501178A0-8584-41D7-8E3B-6C4083895A02}"/>
            </a:ext>
          </a:extLst>
        </xdr:cNvPr>
        <xdr:cNvSpPr/>
      </xdr:nvSpPr>
      <xdr:spPr>
        <a:xfrm rot="10800000">
          <a:off x="5505450" y="129892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858</xdr:row>
      <xdr:rowOff>0</xdr:rowOff>
    </xdr:from>
    <xdr:to>
      <xdr:col>14</xdr:col>
      <xdr:colOff>82233</xdr:colOff>
      <xdr:row>858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7DC99B6F-B796-40DB-8CB8-117E39DB0321}"/>
            </a:ext>
          </a:extLst>
        </xdr:cNvPr>
        <xdr:cNvSpPr/>
      </xdr:nvSpPr>
      <xdr:spPr>
        <a:xfrm rot="10800000">
          <a:off x="5505450" y="1308211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854</xdr:row>
      <xdr:rowOff>0</xdr:rowOff>
    </xdr:from>
    <xdr:to>
      <xdr:col>14</xdr:col>
      <xdr:colOff>82233</xdr:colOff>
      <xdr:row>854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6E72468-9C79-4DEB-ABF1-50B8F3A22394}"/>
            </a:ext>
          </a:extLst>
        </xdr:cNvPr>
        <xdr:cNvSpPr/>
      </xdr:nvSpPr>
      <xdr:spPr>
        <a:xfrm rot="10800000">
          <a:off x="5505450" y="1300781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856</xdr:row>
      <xdr:rowOff>0</xdr:rowOff>
    </xdr:from>
    <xdr:to>
      <xdr:col>14</xdr:col>
      <xdr:colOff>82233</xdr:colOff>
      <xdr:row>856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79FDAA00-E281-458A-B055-F05832FA2035}"/>
            </a:ext>
          </a:extLst>
        </xdr:cNvPr>
        <xdr:cNvSpPr/>
      </xdr:nvSpPr>
      <xdr:spPr>
        <a:xfrm rot="10800000">
          <a:off x="5505450" y="1304496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861</xdr:row>
      <xdr:rowOff>0</xdr:rowOff>
    </xdr:from>
    <xdr:to>
      <xdr:col>14</xdr:col>
      <xdr:colOff>83820</xdr:colOff>
      <xdr:row>861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A6927A85-F594-4BEB-B78B-42FA3AF952B7}"/>
            </a:ext>
          </a:extLst>
        </xdr:cNvPr>
        <xdr:cNvSpPr/>
      </xdr:nvSpPr>
      <xdr:spPr>
        <a:xfrm>
          <a:off x="5505450" y="1311925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863</xdr:row>
      <xdr:rowOff>0</xdr:rowOff>
    </xdr:from>
    <xdr:to>
      <xdr:col>14</xdr:col>
      <xdr:colOff>83820</xdr:colOff>
      <xdr:row>863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1149E88-3D3B-434F-8F7F-75F4891BB7A5}"/>
            </a:ext>
          </a:extLst>
        </xdr:cNvPr>
        <xdr:cNvSpPr/>
      </xdr:nvSpPr>
      <xdr:spPr>
        <a:xfrm>
          <a:off x="5505450" y="1315640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865</xdr:row>
      <xdr:rowOff>0</xdr:rowOff>
    </xdr:from>
    <xdr:to>
      <xdr:col>14</xdr:col>
      <xdr:colOff>83820</xdr:colOff>
      <xdr:row>865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644849DF-0273-4266-B1EC-1FC00159A9A0}"/>
            </a:ext>
          </a:extLst>
        </xdr:cNvPr>
        <xdr:cNvSpPr/>
      </xdr:nvSpPr>
      <xdr:spPr>
        <a:xfrm>
          <a:off x="5505450" y="131935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866</xdr:row>
      <xdr:rowOff>0</xdr:rowOff>
    </xdr:from>
    <xdr:to>
      <xdr:col>14</xdr:col>
      <xdr:colOff>83820</xdr:colOff>
      <xdr:row>866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33565EA-0AE0-49C4-8BD6-E711765A4668}"/>
            </a:ext>
          </a:extLst>
        </xdr:cNvPr>
        <xdr:cNvSpPr/>
      </xdr:nvSpPr>
      <xdr:spPr>
        <a:xfrm>
          <a:off x="5505450" y="132121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864</xdr:row>
      <xdr:rowOff>0</xdr:rowOff>
    </xdr:from>
    <xdr:to>
      <xdr:col>14</xdr:col>
      <xdr:colOff>80646</xdr:colOff>
      <xdr:row>864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72DC6088-8ACC-4CEE-A545-E4621D8BE325}"/>
            </a:ext>
          </a:extLst>
        </xdr:cNvPr>
        <xdr:cNvSpPr/>
      </xdr:nvSpPr>
      <xdr:spPr>
        <a:xfrm rot="10800000">
          <a:off x="5505450" y="1319355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862</xdr:row>
      <xdr:rowOff>0</xdr:rowOff>
    </xdr:from>
    <xdr:to>
      <xdr:col>14</xdr:col>
      <xdr:colOff>80646</xdr:colOff>
      <xdr:row>862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AF90619E-D539-4D78-8CCE-8B3B852B2FBA}"/>
            </a:ext>
          </a:extLst>
        </xdr:cNvPr>
        <xdr:cNvSpPr/>
      </xdr:nvSpPr>
      <xdr:spPr>
        <a:xfrm rot="10800000">
          <a:off x="5505450" y="13156406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860</xdr:row>
      <xdr:rowOff>0</xdr:rowOff>
    </xdr:from>
    <xdr:to>
      <xdr:col>14</xdr:col>
      <xdr:colOff>80646</xdr:colOff>
      <xdr:row>860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344B8390-8F87-4BDC-8D6D-400EE9DE5246}"/>
            </a:ext>
          </a:extLst>
        </xdr:cNvPr>
        <xdr:cNvSpPr/>
      </xdr:nvSpPr>
      <xdr:spPr>
        <a:xfrm rot="10800000">
          <a:off x="5505450" y="1311925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868</xdr:row>
      <xdr:rowOff>0</xdr:rowOff>
    </xdr:from>
    <xdr:to>
      <xdr:col>14</xdr:col>
      <xdr:colOff>83820</xdr:colOff>
      <xdr:row>868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402A7AC5-B13E-47D3-ACD7-33533DD4C603}"/>
            </a:ext>
          </a:extLst>
        </xdr:cNvPr>
        <xdr:cNvSpPr/>
      </xdr:nvSpPr>
      <xdr:spPr>
        <a:xfrm>
          <a:off x="5505450" y="1324927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869</xdr:row>
      <xdr:rowOff>0</xdr:rowOff>
    </xdr:from>
    <xdr:to>
      <xdr:col>14</xdr:col>
      <xdr:colOff>83820</xdr:colOff>
      <xdr:row>869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51DB3D96-C438-4C7F-BCFD-C8B0DB534A7E}"/>
            </a:ext>
          </a:extLst>
        </xdr:cNvPr>
        <xdr:cNvSpPr/>
      </xdr:nvSpPr>
      <xdr:spPr>
        <a:xfrm>
          <a:off x="5505450" y="1326784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871</xdr:row>
      <xdr:rowOff>0</xdr:rowOff>
    </xdr:from>
    <xdr:to>
      <xdr:col>14</xdr:col>
      <xdr:colOff>83820</xdr:colOff>
      <xdr:row>871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CC2935D2-3AE3-4B9F-B6A7-15B29CE91DC2}"/>
            </a:ext>
          </a:extLst>
        </xdr:cNvPr>
        <xdr:cNvSpPr/>
      </xdr:nvSpPr>
      <xdr:spPr>
        <a:xfrm>
          <a:off x="5505450" y="1330499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872</xdr:row>
      <xdr:rowOff>0</xdr:rowOff>
    </xdr:from>
    <xdr:to>
      <xdr:col>14</xdr:col>
      <xdr:colOff>83820</xdr:colOff>
      <xdr:row>872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8BBA2A93-AAFB-46DC-A5CA-941181B29EE7}"/>
            </a:ext>
          </a:extLst>
        </xdr:cNvPr>
        <xdr:cNvSpPr/>
      </xdr:nvSpPr>
      <xdr:spPr>
        <a:xfrm>
          <a:off x="5505450" y="1332357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873</xdr:row>
      <xdr:rowOff>0</xdr:rowOff>
    </xdr:from>
    <xdr:to>
      <xdr:col>14</xdr:col>
      <xdr:colOff>83820</xdr:colOff>
      <xdr:row>873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8FAECEBA-3ECA-4293-9B1B-F9E78FD86A26}"/>
            </a:ext>
          </a:extLst>
        </xdr:cNvPr>
        <xdr:cNvSpPr/>
      </xdr:nvSpPr>
      <xdr:spPr>
        <a:xfrm>
          <a:off x="5505450" y="133421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867</xdr:row>
      <xdr:rowOff>0</xdr:rowOff>
    </xdr:from>
    <xdr:to>
      <xdr:col>14</xdr:col>
      <xdr:colOff>82234</xdr:colOff>
      <xdr:row>867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2436BCB7-3861-4046-A9C9-58DB4B9C7611}"/>
            </a:ext>
          </a:extLst>
        </xdr:cNvPr>
        <xdr:cNvSpPr/>
      </xdr:nvSpPr>
      <xdr:spPr>
        <a:xfrm rot="10800000">
          <a:off x="5505450" y="1324927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870</xdr:row>
      <xdr:rowOff>0</xdr:rowOff>
    </xdr:from>
    <xdr:to>
      <xdr:col>14</xdr:col>
      <xdr:colOff>82234</xdr:colOff>
      <xdr:row>870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BEBDA3C2-221A-4474-AD77-FD4C3CB7D3B3}"/>
            </a:ext>
          </a:extLst>
        </xdr:cNvPr>
        <xdr:cNvSpPr/>
      </xdr:nvSpPr>
      <xdr:spPr>
        <a:xfrm rot="10800000">
          <a:off x="5505450" y="1330499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875</xdr:row>
      <xdr:rowOff>0</xdr:rowOff>
    </xdr:from>
    <xdr:to>
      <xdr:col>14</xdr:col>
      <xdr:colOff>83820</xdr:colOff>
      <xdr:row>875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900BF155-BA3B-4626-9215-5DBD863F010C}"/>
            </a:ext>
          </a:extLst>
        </xdr:cNvPr>
        <xdr:cNvSpPr/>
      </xdr:nvSpPr>
      <xdr:spPr>
        <a:xfrm>
          <a:off x="5505450" y="133792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878</xdr:row>
      <xdr:rowOff>0</xdr:rowOff>
    </xdr:from>
    <xdr:to>
      <xdr:col>14</xdr:col>
      <xdr:colOff>83820</xdr:colOff>
      <xdr:row>878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22776AE6-73CF-4847-820D-AF3BB22C18FC}"/>
            </a:ext>
          </a:extLst>
        </xdr:cNvPr>
        <xdr:cNvSpPr/>
      </xdr:nvSpPr>
      <xdr:spPr>
        <a:xfrm>
          <a:off x="5505450" y="134350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879</xdr:row>
      <xdr:rowOff>0</xdr:rowOff>
    </xdr:from>
    <xdr:to>
      <xdr:col>14</xdr:col>
      <xdr:colOff>83820</xdr:colOff>
      <xdr:row>879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EE893292-2390-4448-B0FB-E90629D7F720}"/>
            </a:ext>
          </a:extLst>
        </xdr:cNvPr>
        <xdr:cNvSpPr/>
      </xdr:nvSpPr>
      <xdr:spPr>
        <a:xfrm>
          <a:off x="5505450" y="134535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880</xdr:row>
      <xdr:rowOff>0</xdr:rowOff>
    </xdr:from>
    <xdr:to>
      <xdr:col>14</xdr:col>
      <xdr:colOff>83820</xdr:colOff>
      <xdr:row>880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7FA346BD-46A0-4880-8E1A-9189ECFD9F1E}"/>
            </a:ext>
          </a:extLst>
        </xdr:cNvPr>
        <xdr:cNvSpPr/>
      </xdr:nvSpPr>
      <xdr:spPr>
        <a:xfrm>
          <a:off x="5505450" y="134721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877</xdr:row>
      <xdr:rowOff>0</xdr:rowOff>
    </xdr:from>
    <xdr:to>
      <xdr:col>14</xdr:col>
      <xdr:colOff>82234</xdr:colOff>
      <xdr:row>877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4B090742-0ADC-464D-8800-3CE2C5F9CACE}"/>
            </a:ext>
          </a:extLst>
        </xdr:cNvPr>
        <xdr:cNvSpPr/>
      </xdr:nvSpPr>
      <xdr:spPr>
        <a:xfrm rot="10800000">
          <a:off x="5505450" y="134350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876</xdr:row>
      <xdr:rowOff>0</xdr:rowOff>
    </xdr:from>
    <xdr:to>
      <xdr:col>14</xdr:col>
      <xdr:colOff>82234</xdr:colOff>
      <xdr:row>876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66351EFE-C874-497B-98A9-2D6A1065FD0D}"/>
            </a:ext>
          </a:extLst>
        </xdr:cNvPr>
        <xdr:cNvSpPr/>
      </xdr:nvSpPr>
      <xdr:spPr>
        <a:xfrm rot="10800000">
          <a:off x="5505450" y="1341643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874</xdr:row>
      <xdr:rowOff>0</xdr:rowOff>
    </xdr:from>
    <xdr:to>
      <xdr:col>14</xdr:col>
      <xdr:colOff>82234</xdr:colOff>
      <xdr:row>874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6A58B169-FEE9-4A55-BAD4-453C790D9C62}"/>
            </a:ext>
          </a:extLst>
        </xdr:cNvPr>
        <xdr:cNvSpPr/>
      </xdr:nvSpPr>
      <xdr:spPr>
        <a:xfrm rot="10800000">
          <a:off x="5505450" y="1337929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882</xdr:row>
      <xdr:rowOff>0</xdr:rowOff>
    </xdr:from>
    <xdr:to>
      <xdr:col>14</xdr:col>
      <xdr:colOff>83820</xdr:colOff>
      <xdr:row>882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1BD8E75-F94A-43BB-AC46-7B5C1E3329BC}"/>
            </a:ext>
          </a:extLst>
        </xdr:cNvPr>
        <xdr:cNvSpPr/>
      </xdr:nvSpPr>
      <xdr:spPr>
        <a:xfrm>
          <a:off x="5648325" y="131530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885</xdr:row>
      <xdr:rowOff>0</xdr:rowOff>
    </xdr:from>
    <xdr:to>
      <xdr:col>14</xdr:col>
      <xdr:colOff>83820</xdr:colOff>
      <xdr:row>885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15821807-F5AD-4886-AD5F-3C66432FBF58}"/>
            </a:ext>
          </a:extLst>
        </xdr:cNvPr>
        <xdr:cNvSpPr/>
      </xdr:nvSpPr>
      <xdr:spPr>
        <a:xfrm>
          <a:off x="5648325" y="132073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886</xdr:row>
      <xdr:rowOff>0</xdr:rowOff>
    </xdr:from>
    <xdr:to>
      <xdr:col>14</xdr:col>
      <xdr:colOff>83820</xdr:colOff>
      <xdr:row>886</xdr:row>
      <xdr:rowOff>114300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CB0C6BE-4CD3-4F87-A22B-DAB2051552CF}"/>
            </a:ext>
          </a:extLst>
        </xdr:cNvPr>
        <xdr:cNvSpPr/>
      </xdr:nvSpPr>
      <xdr:spPr>
        <a:xfrm>
          <a:off x="5648325" y="1322546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887</xdr:row>
      <xdr:rowOff>0</xdr:rowOff>
    </xdr:from>
    <xdr:to>
      <xdr:col>14</xdr:col>
      <xdr:colOff>83820</xdr:colOff>
      <xdr:row>887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83422F4E-AACA-4E53-8575-EA7BF2F2A2AA}"/>
            </a:ext>
          </a:extLst>
        </xdr:cNvPr>
        <xdr:cNvSpPr/>
      </xdr:nvSpPr>
      <xdr:spPr>
        <a:xfrm>
          <a:off x="5648325" y="132435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892</xdr:row>
      <xdr:rowOff>0</xdr:rowOff>
    </xdr:from>
    <xdr:to>
      <xdr:col>14</xdr:col>
      <xdr:colOff>83820</xdr:colOff>
      <xdr:row>892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5F08BDBE-866B-457C-9031-C29C33A35D80}"/>
            </a:ext>
          </a:extLst>
        </xdr:cNvPr>
        <xdr:cNvSpPr/>
      </xdr:nvSpPr>
      <xdr:spPr>
        <a:xfrm>
          <a:off x="5648325" y="133340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893</xdr:row>
      <xdr:rowOff>0</xdr:rowOff>
    </xdr:from>
    <xdr:to>
      <xdr:col>14</xdr:col>
      <xdr:colOff>83820</xdr:colOff>
      <xdr:row>893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9E8DB2F9-9667-4FDB-B05F-547D5A18D329}"/>
            </a:ext>
          </a:extLst>
        </xdr:cNvPr>
        <xdr:cNvSpPr/>
      </xdr:nvSpPr>
      <xdr:spPr>
        <a:xfrm>
          <a:off x="5648325" y="1335214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894</xdr:row>
      <xdr:rowOff>0</xdr:rowOff>
    </xdr:from>
    <xdr:to>
      <xdr:col>14</xdr:col>
      <xdr:colOff>83820</xdr:colOff>
      <xdr:row>894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FECA1064-24E2-4B22-870E-93C2D66289F1}"/>
            </a:ext>
          </a:extLst>
        </xdr:cNvPr>
        <xdr:cNvSpPr/>
      </xdr:nvSpPr>
      <xdr:spPr>
        <a:xfrm>
          <a:off x="5648325" y="1337024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891</xdr:row>
      <xdr:rowOff>0</xdr:rowOff>
    </xdr:from>
    <xdr:to>
      <xdr:col>14</xdr:col>
      <xdr:colOff>82234</xdr:colOff>
      <xdr:row>891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D5681B99-2BCB-43A1-80FE-28D5EC1E97CA}"/>
            </a:ext>
          </a:extLst>
        </xdr:cNvPr>
        <xdr:cNvSpPr/>
      </xdr:nvSpPr>
      <xdr:spPr>
        <a:xfrm rot="10800000">
          <a:off x="5648325" y="1333404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890</xdr:row>
      <xdr:rowOff>0</xdr:rowOff>
    </xdr:from>
    <xdr:to>
      <xdr:col>14</xdr:col>
      <xdr:colOff>82234</xdr:colOff>
      <xdr:row>890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BC2DACBF-6400-4A1E-859D-C460D3FCEEC3}"/>
            </a:ext>
          </a:extLst>
        </xdr:cNvPr>
        <xdr:cNvSpPr/>
      </xdr:nvSpPr>
      <xdr:spPr>
        <a:xfrm rot="10800000">
          <a:off x="5648325" y="133159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889</xdr:row>
      <xdr:rowOff>0</xdr:rowOff>
    </xdr:from>
    <xdr:to>
      <xdr:col>14</xdr:col>
      <xdr:colOff>82234</xdr:colOff>
      <xdr:row>889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4D6907BD-84F7-4C2F-B8AC-6B218E067977}"/>
            </a:ext>
          </a:extLst>
        </xdr:cNvPr>
        <xdr:cNvSpPr/>
      </xdr:nvSpPr>
      <xdr:spPr>
        <a:xfrm rot="10800000">
          <a:off x="5648325" y="1329785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888</xdr:row>
      <xdr:rowOff>0</xdr:rowOff>
    </xdr:from>
    <xdr:to>
      <xdr:col>14</xdr:col>
      <xdr:colOff>82234</xdr:colOff>
      <xdr:row>888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D31DC7AE-1B39-4CF2-A500-4EAEF31667DB}"/>
            </a:ext>
          </a:extLst>
        </xdr:cNvPr>
        <xdr:cNvSpPr/>
      </xdr:nvSpPr>
      <xdr:spPr>
        <a:xfrm rot="10800000">
          <a:off x="5648325" y="132797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884</xdr:row>
      <xdr:rowOff>0</xdr:rowOff>
    </xdr:from>
    <xdr:to>
      <xdr:col>14</xdr:col>
      <xdr:colOff>82234</xdr:colOff>
      <xdr:row>884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DC2B24B3-CA86-418B-890E-491879E5535F}"/>
            </a:ext>
          </a:extLst>
        </xdr:cNvPr>
        <xdr:cNvSpPr/>
      </xdr:nvSpPr>
      <xdr:spPr>
        <a:xfrm rot="10800000">
          <a:off x="5648325" y="132073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883</xdr:row>
      <xdr:rowOff>0</xdr:rowOff>
    </xdr:from>
    <xdr:to>
      <xdr:col>14</xdr:col>
      <xdr:colOff>82234</xdr:colOff>
      <xdr:row>883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78FD1206-B128-4508-9325-6C064CFF8418}"/>
            </a:ext>
          </a:extLst>
        </xdr:cNvPr>
        <xdr:cNvSpPr/>
      </xdr:nvSpPr>
      <xdr:spPr>
        <a:xfrm rot="10800000">
          <a:off x="5648325" y="131892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881</xdr:row>
      <xdr:rowOff>0</xdr:rowOff>
    </xdr:from>
    <xdr:to>
      <xdr:col>14</xdr:col>
      <xdr:colOff>82234</xdr:colOff>
      <xdr:row>881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028CD87D-4817-4210-B64A-280255099B72}"/>
            </a:ext>
          </a:extLst>
        </xdr:cNvPr>
        <xdr:cNvSpPr/>
      </xdr:nvSpPr>
      <xdr:spPr>
        <a:xfrm rot="10800000">
          <a:off x="5648325" y="131530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897</xdr:row>
      <xdr:rowOff>0</xdr:rowOff>
    </xdr:from>
    <xdr:to>
      <xdr:col>14</xdr:col>
      <xdr:colOff>83820</xdr:colOff>
      <xdr:row>897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D4088896-04EA-4085-A6F9-D862089A17E0}"/>
            </a:ext>
          </a:extLst>
        </xdr:cNvPr>
        <xdr:cNvSpPr/>
      </xdr:nvSpPr>
      <xdr:spPr>
        <a:xfrm>
          <a:off x="5648325" y="134245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899</xdr:row>
      <xdr:rowOff>0</xdr:rowOff>
    </xdr:from>
    <xdr:to>
      <xdr:col>14</xdr:col>
      <xdr:colOff>83820</xdr:colOff>
      <xdr:row>899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BEC98A0-FED5-45AB-AAC4-B09841124003}"/>
            </a:ext>
          </a:extLst>
        </xdr:cNvPr>
        <xdr:cNvSpPr/>
      </xdr:nvSpPr>
      <xdr:spPr>
        <a:xfrm>
          <a:off x="5648325" y="1346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901</xdr:row>
      <xdr:rowOff>0</xdr:rowOff>
    </xdr:from>
    <xdr:to>
      <xdr:col>14</xdr:col>
      <xdr:colOff>83820</xdr:colOff>
      <xdr:row>901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27D63348-99D5-40DF-934D-28598B644003}"/>
            </a:ext>
          </a:extLst>
        </xdr:cNvPr>
        <xdr:cNvSpPr/>
      </xdr:nvSpPr>
      <xdr:spPr>
        <a:xfrm>
          <a:off x="5648325" y="1349692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900</xdr:row>
      <xdr:rowOff>0</xdr:rowOff>
    </xdr:from>
    <xdr:to>
      <xdr:col>14</xdr:col>
      <xdr:colOff>82234</xdr:colOff>
      <xdr:row>900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C60250B-8E65-4EB1-B39F-53E67C19DED3}"/>
            </a:ext>
          </a:extLst>
        </xdr:cNvPr>
        <xdr:cNvSpPr/>
      </xdr:nvSpPr>
      <xdr:spPr>
        <a:xfrm rot="10800000">
          <a:off x="5648325" y="1349692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898</xdr:row>
      <xdr:rowOff>0</xdr:rowOff>
    </xdr:from>
    <xdr:to>
      <xdr:col>14</xdr:col>
      <xdr:colOff>82234</xdr:colOff>
      <xdr:row>898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9291236D-63D7-4AAA-BA1B-26C1E7CC770E}"/>
            </a:ext>
          </a:extLst>
        </xdr:cNvPr>
        <xdr:cNvSpPr/>
      </xdr:nvSpPr>
      <xdr:spPr>
        <a:xfrm rot="10800000">
          <a:off x="5648325" y="1346073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896</xdr:row>
      <xdr:rowOff>0</xdr:rowOff>
    </xdr:from>
    <xdr:to>
      <xdr:col>14</xdr:col>
      <xdr:colOff>82234</xdr:colOff>
      <xdr:row>896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76AF681D-F263-4448-B6FE-5BEF289AE4C2}"/>
            </a:ext>
          </a:extLst>
        </xdr:cNvPr>
        <xdr:cNvSpPr/>
      </xdr:nvSpPr>
      <xdr:spPr>
        <a:xfrm rot="10800000">
          <a:off x="5648325" y="1342453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895</xdr:row>
      <xdr:rowOff>0</xdr:rowOff>
    </xdr:from>
    <xdr:to>
      <xdr:col>14</xdr:col>
      <xdr:colOff>82234</xdr:colOff>
      <xdr:row>895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55717D0-6B1D-443A-BC3F-7F602DE6B03C}"/>
            </a:ext>
          </a:extLst>
        </xdr:cNvPr>
        <xdr:cNvSpPr/>
      </xdr:nvSpPr>
      <xdr:spPr>
        <a:xfrm rot="10800000">
          <a:off x="5648325" y="1340643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903</xdr:row>
      <xdr:rowOff>0</xdr:rowOff>
    </xdr:from>
    <xdr:to>
      <xdr:col>14</xdr:col>
      <xdr:colOff>83820</xdr:colOff>
      <xdr:row>903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7AA382C8-344C-4FAB-9C4B-B8B75D19EF18}"/>
            </a:ext>
          </a:extLst>
        </xdr:cNvPr>
        <xdr:cNvSpPr/>
      </xdr:nvSpPr>
      <xdr:spPr>
        <a:xfrm>
          <a:off x="5648325" y="135331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906</xdr:row>
      <xdr:rowOff>0</xdr:rowOff>
    </xdr:from>
    <xdr:to>
      <xdr:col>14</xdr:col>
      <xdr:colOff>83820</xdr:colOff>
      <xdr:row>906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F9758D9E-9489-4987-8194-47BF8359122C}"/>
            </a:ext>
          </a:extLst>
        </xdr:cNvPr>
        <xdr:cNvSpPr/>
      </xdr:nvSpPr>
      <xdr:spPr>
        <a:xfrm>
          <a:off x="5648325" y="135874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907</xdr:row>
      <xdr:rowOff>0</xdr:rowOff>
    </xdr:from>
    <xdr:to>
      <xdr:col>14</xdr:col>
      <xdr:colOff>83820</xdr:colOff>
      <xdr:row>907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6721ECD6-7486-471D-8951-2477118B2BAB}"/>
            </a:ext>
          </a:extLst>
        </xdr:cNvPr>
        <xdr:cNvSpPr/>
      </xdr:nvSpPr>
      <xdr:spPr>
        <a:xfrm>
          <a:off x="5648325" y="136055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908</xdr:row>
      <xdr:rowOff>0</xdr:rowOff>
    </xdr:from>
    <xdr:to>
      <xdr:col>14</xdr:col>
      <xdr:colOff>83820</xdr:colOff>
      <xdr:row>908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C5144A95-1FCA-482D-A5D4-5C8F095964C3}"/>
            </a:ext>
          </a:extLst>
        </xdr:cNvPr>
        <xdr:cNvSpPr/>
      </xdr:nvSpPr>
      <xdr:spPr>
        <a:xfrm>
          <a:off x="5648325" y="1362360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902</xdr:row>
      <xdr:rowOff>0</xdr:rowOff>
    </xdr:from>
    <xdr:to>
      <xdr:col>14</xdr:col>
      <xdr:colOff>82234</xdr:colOff>
      <xdr:row>902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602BA4EA-6ABA-4DD9-8EE7-1A5176975C27}"/>
            </a:ext>
          </a:extLst>
        </xdr:cNvPr>
        <xdr:cNvSpPr/>
      </xdr:nvSpPr>
      <xdr:spPr>
        <a:xfrm rot="10800000">
          <a:off x="5648325" y="1353312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905</xdr:row>
      <xdr:rowOff>0</xdr:rowOff>
    </xdr:from>
    <xdr:to>
      <xdr:col>14</xdr:col>
      <xdr:colOff>82234</xdr:colOff>
      <xdr:row>905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62B1269-CC62-443D-A5AC-1A5E7D7EAB75}"/>
            </a:ext>
          </a:extLst>
        </xdr:cNvPr>
        <xdr:cNvSpPr/>
      </xdr:nvSpPr>
      <xdr:spPr>
        <a:xfrm rot="10800000">
          <a:off x="5648325" y="135874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904</xdr:row>
      <xdr:rowOff>0</xdr:rowOff>
    </xdr:from>
    <xdr:to>
      <xdr:col>14</xdr:col>
      <xdr:colOff>82234</xdr:colOff>
      <xdr:row>904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D18AE04A-96F6-4F4D-8F43-DEF4FA5F0842}"/>
            </a:ext>
          </a:extLst>
        </xdr:cNvPr>
        <xdr:cNvSpPr/>
      </xdr:nvSpPr>
      <xdr:spPr>
        <a:xfrm rot="10800000">
          <a:off x="5648325" y="1356931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807</xdr:row>
      <xdr:rowOff>0</xdr:rowOff>
    </xdr:from>
    <xdr:to>
      <xdr:col>28</xdr:col>
      <xdr:colOff>83820</xdr:colOff>
      <xdr:row>807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625DA04B-04C0-4E98-A366-613AE8C3E580}"/>
            </a:ext>
          </a:extLst>
        </xdr:cNvPr>
        <xdr:cNvSpPr/>
      </xdr:nvSpPr>
      <xdr:spPr>
        <a:xfrm>
          <a:off x="11953875" y="1340548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812</xdr:row>
      <xdr:rowOff>0</xdr:rowOff>
    </xdr:from>
    <xdr:to>
      <xdr:col>28</xdr:col>
      <xdr:colOff>83820</xdr:colOff>
      <xdr:row>812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CBB8DBFF-6F78-441D-B6F0-41E2B545DE91}"/>
            </a:ext>
          </a:extLst>
        </xdr:cNvPr>
        <xdr:cNvSpPr/>
      </xdr:nvSpPr>
      <xdr:spPr>
        <a:xfrm>
          <a:off x="11953875" y="134983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813</xdr:row>
      <xdr:rowOff>0</xdr:rowOff>
    </xdr:from>
    <xdr:to>
      <xdr:col>28</xdr:col>
      <xdr:colOff>83820</xdr:colOff>
      <xdr:row>813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567A6B08-B708-4D56-A624-CDFE6759D89F}"/>
            </a:ext>
          </a:extLst>
        </xdr:cNvPr>
        <xdr:cNvSpPr/>
      </xdr:nvSpPr>
      <xdr:spPr>
        <a:xfrm>
          <a:off x="11953875" y="135169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808</xdr:row>
      <xdr:rowOff>0</xdr:rowOff>
    </xdr:from>
    <xdr:to>
      <xdr:col>28</xdr:col>
      <xdr:colOff>82233</xdr:colOff>
      <xdr:row>808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6AB4004B-BFAA-407D-89D8-C12476865602}"/>
            </a:ext>
          </a:extLst>
        </xdr:cNvPr>
        <xdr:cNvSpPr/>
      </xdr:nvSpPr>
      <xdr:spPr>
        <a:xfrm rot="10800000">
          <a:off x="11953875" y="134426325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811</xdr:row>
      <xdr:rowOff>0</xdr:rowOff>
    </xdr:from>
    <xdr:to>
      <xdr:col>28</xdr:col>
      <xdr:colOff>82233</xdr:colOff>
      <xdr:row>811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7FD9EE58-54DC-4E6F-B84C-80D14D2BAA39}"/>
            </a:ext>
          </a:extLst>
        </xdr:cNvPr>
        <xdr:cNvSpPr/>
      </xdr:nvSpPr>
      <xdr:spPr>
        <a:xfrm rot="10800000">
          <a:off x="11953875" y="134983538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809</xdr:row>
      <xdr:rowOff>0</xdr:rowOff>
    </xdr:from>
    <xdr:to>
      <xdr:col>28</xdr:col>
      <xdr:colOff>82233</xdr:colOff>
      <xdr:row>809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10C03CA5-F1BE-44B3-BAE7-472AEA83EAB4}"/>
            </a:ext>
          </a:extLst>
        </xdr:cNvPr>
        <xdr:cNvSpPr/>
      </xdr:nvSpPr>
      <xdr:spPr>
        <a:xfrm rot="10800000">
          <a:off x="11953875" y="134612063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810</xdr:row>
      <xdr:rowOff>0</xdr:rowOff>
    </xdr:from>
    <xdr:to>
      <xdr:col>28</xdr:col>
      <xdr:colOff>82233</xdr:colOff>
      <xdr:row>810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A0BFBB73-A72D-48D8-9CDB-0F870D8BC31F}"/>
            </a:ext>
          </a:extLst>
        </xdr:cNvPr>
        <xdr:cNvSpPr/>
      </xdr:nvSpPr>
      <xdr:spPr>
        <a:xfrm rot="10800000">
          <a:off x="11953875" y="134797800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814</xdr:row>
      <xdr:rowOff>0</xdr:rowOff>
    </xdr:from>
    <xdr:to>
      <xdr:col>28</xdr:col>
      <xdr:colOff>83820</xdr:colOff>
      <xdr:row>814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7BED815D-C2EB-478B-AC2E-31FF19AA82B2}"/>
            </a:ext>
          </a:extLst>
        </xdr:cNvPr>
        <xdr:cNvSpPr/>
      </xdr:nvSpPr>
      <xdr:spPr>
        <a:xfrm>
          <a:off x="11953875" y="1353550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14288</xdr:colOff>
      <xdr:row>818</xdr:row>
      <xdr:rowOff>180975</xdr:rowOff>
    </xdr:from>
    <xdr:to>
      <xdr:col>28</xdr:col>
      <xdr:colOff>96521</xdr:colOff>
      <xdr:row>819</xdr:row>
      <xdr:rowOff>109537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4A530108-AEC1-4BFA-AEBC-5CACFBE8DD72}"/>
            </a:ext>
          </a:extLst>
        </xdr:cNvPr>
        <xdr:cNvSpPr/>
      </xdr:nvSpPr>
      <xdr:spPr>
        <a:xfrm>
          <a:off x="11968163" y="1364646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820</xdr:row>
      <xdr:rowOff>0</xdr:rowOff>
    </xdr:from>
    <xdr:to>
      <xdr:col>28</xdr:col>
      <xdr:colOff>83820</xdr:colOff>
      <xdr:row>820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8B38A3CE-F02B-4AC9-9637-7833040BE90D}"/>
            </a:ext>
          </a:extLst>
        </xdr:cNvPr>
        <xdr:cNvSpPr/>
      </xdr:nvSpPr>
      <xdr:spPr>
        <a:xfrm>
          <a:off x="11953875" y="136469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815</xdr:row>
      <xdr:rowOff>0</xdr:rowOff>
    </xdr:from>
    <xdr:to>
      <xdr:col>28</xdr:col>
      <xdr:colOff>80646</xdr:colOff>
      <xdr:row>815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17DAAC2-167F-4805-8E2B-8930CC5E9CCA}"/>
            </a:ext>
          </a:extLst>
        </xdr:cNvPr>
        <xdr:cNvSpPr/>
      </xdr:nvSpPr>
      <xdr:spPr>
        <a:xfrm rot="10800000">
          <a:off x="11953875" y="135726488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818</xdr:row>
      <xdr:rowOff>0</xdr:rowOff>
    </xdr:from>
    <xdr:to>
      <xdr:col>28</xdr:col>
      <xdr:colOff>80646</xdr:colOff>
      <xdr:row>818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14C9C9C0-9BA7-49D5-A6F4-948826BADC14}"/>
            </a:ext>
          </a:extLst>
        </xdr:cNvPr>
        <xdr:cNvSpPr/>
      </xdr:nvSpPr>
      <xdr:spPr>
        <a:xfrm rot="10800000">
          <a:off x="11953875" y="136283700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817</xdr:row>
      <xdr:rowOff>0</xdr:rowOff>
    </xdr:from>
    <xdr:to>
      <xdr:col>28</xdr:col>
      <xdr:colOff>80646</xdr:colOff>
      <xdr:row>817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A3E49586-3DC2-45BC-A3A0-4AC0FF55282A}"/>
            </a:ext>
          </a:extLst>
        </xdr:cNvPr>
        <xdr:cNvSpPr/>
      </xdr:nvSpPr>
      <xdr:spPr>
        <a:xfrm rot="10800000">
          <a:off x="11953875" y="136097963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816</xdr:row>
      <xdr:rowOff>0</xdr:rowOff>
    </xdr:from>
    <xdr:to>
      <xdr:col>28</xdr:col>
      <xdr:colOff>80646</xdr:colOff>
      <xdr:row>816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2D7CC099-8CA7-4987-A4ED-26B7E73216F0}"/>
            </a:ext>
          </a:extLst>
        </xdr:cNvPr>
        <xdr:cNvSpPr/>
      </xdr:nvSpPr>
      <xdr:spPr>
        <a:xfrm rot="10800000">
          <a:off x="11953875" y="135912225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821</xdr:row>
      <xdr:rowOff>0</xdr:rowOff>
    </xdr:from>
    <xdr:to>
      <xdr:col>28</xdr:col>
      <xdr:colOff>83820</xdr:colOff>
      <xdr:row>821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AEC2C882-4656-4E64-A25C-C788400CD923}"/>
            </a:ext>
          </a:extLst>
        </xdr:cNvPr>
        <xdr:cNvSpPr/>
      </xdr:nvSpPr>
      <xdr:spPr>
        <a:xfrm>
          <a:off x="11953875" y="1366551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822</xdr:row>
      <xdr:rowOff>0</xdr:rowOff>
    </xdr:from>
    <xdr:to>
      <xdr:col>28</xdr:col>
      <xdr:colOff>83820</xdr:colOff>
      <xdr:row>822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C1117BBD-0E35-419D-A1A4-5E73F7341F88}"/>
            </a:ext>
          </a:extLst>
        </xdr:cNvPr>
        <xdr:cNvSpPr/>
      </xdr:nvSpPr>
      <xdr:spPr>
        <a:xfrm>
          <a:off x="11953875" y="136840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826</xdr:row>
      <xdr:rowOff>0</xdr:rowOff>
    </xdr:from>
    <xdr:to>
      <xdr:col>28</xdr:col>
      <xdr:colOff>83820</xdr:colOff>
      <xdr:row>826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EF799939-2E66-4EE6-9EE8-A3D2AF697124}"/>
            </a:ext>
          </a:extLst>
        </xdr:cNvPr>
        <xdr:cNvSpPr/>
      </xdr:nvSpPr>
      <xdr:spPr>
        <a:xfrm>
          <a:off x="11953875" y="137583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827</xdr:row>
      <xdr:rowOff>0</xdr:rowOff>
    </xdr:from>
    <xdr:to>
      <xdr:col>28</xdr:col>
      <xdr:colOff>83820</xdr:colOff>
      <xdr:row>827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C2CAA41A-12A4-4E1E-A0E2-9A546D8E2819}"/>
            </a:ext>
          </a:extLst>
        </xdr:cNvPr>
        <xdr:cNvSpPr/>
      </xdr:nvSpPr>
      <xdr:spPr>
        <a:xfrm>
          <a:off x="11953875" y="137769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825</xdr:row>
      <xdr:rowOff>0</xdr:rowOff>
    </xdr:from>
    <xdr:to>
      <xdr:col>28</xdr:col>
      <xdr:colOff>82234</xdr:colOff>
      <xdr:row>825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7926CC5E-1686-4371-9BA6-23B7ED2F2BED}"/>
            </a:ext>
          </a:extLst>
        </xdr:cNvPr>
        <xdr:cNvSpPr/>
      </xdr:nvSpPr>
      <xdr:spPr>
        <a:xfrm rot="10800000">
          <a:off x="11953875" y="137583863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824</xdr:row>
      <xdr:rowOff>0</xdr:rowOff>
    </xdr:from>
    <xdr:to>
      <xdr:col>28</xdr:col>
      <xdr:colOff>82234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F1F0D3A9-30E1-432B-9B81-5E5159DC27BD}"/>
            </a:ext>
          </a:extLst>
        </xdr:cNvPr>
        <xdr:cNvSpPr/>
      </xdr:nvSpPr>
      <xdr:spPr>
        <a:xfrm rot="10800000">
          <a:off x="11953875" y="137398125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823</xdr:row>
      <xdr:rowOff>0</xdr:rowOff>
    </xdr:from>
    <xdr:to>
      <xdr:col>28</xdr:col>
      <xdr:colOff>82234</xdr:colOff>
      <xdr:row>823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1A1B8561-987C-4B8A-9E74-1423BF58F9CB}"/>
            </a:ext>
          </a:extLst>
        </xdr:cNvPr>
        <xdr:cNvSpPr/>
      </xdr:nvSpPr>
      <xdr:spPr>
        <a:xfrm rot="10800000">
          <a:off x="11953875" y="137212388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828</xdr:row>
      <xdr:rowOff>0</xdr:rowOff>
    </xdr:from>
    <xdr:to>
      <xdr:col>28</xdr:col>
      <xdr:colOff>83820</xdr:colOff>
      <xdr:row>828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6F537C03-75DB-4A10-9E61-2ED0453B509A}"/>
            </a:ext>
          </a:extLst>
        </xdr:cNvPr>
        <xdr:cNvSpPr/>
      </xdr:nvSpPr>
      <xdr:spPr>
        <a:xfrm>
          <a:off x="11953875" y="137955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829</xdr:row>
      <xdr:rowOff>0</xdr:rowOff>
    </xdr:from>
    <xdr:to>
      <xdr:col>28</xdr:col>
      <xdr:colOff>83820</xdr:colOff>
      <xdr:row>829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F3CDBF4A-2E15-48DB-A809-13B8427EE724}"/>
            </a:ext>
          </a:extLst>
        </xdr:cNvPr>
        <xdr:cNvSpPr/>
      </xdr:nvSpPr>
      <xdr:spPr>
        <a:xfrm>
          <a:off x="11953875" y="1381410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833</xdr:row>
      <xdr:rowOff>0</xdr:rowOff>
    </xdr:from>
    <xdr:to>
      <xdr:col>28</xdr:col>
      <xdr:colOff>83820</xdr:colOff>
      <xdr:row>833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FA0C0111-308A-4242-9A32-8DD268419C29}"/>
            </a:ext>
          </a:extLst>
        </xdr:cNvPr>
        <xdr:cNvSpPr/>
      </xdr:nvSpPr>
      <xdr:spPr>
        <a:xfrm>
          <a:off x="11953875" y="138884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834</xdr:row>
      <xdr:rowOff>0</xdr:rowOff>
    </xdr:from>
    <xdr:to>
      <xdr:col>28</xdr:col>
      <xdr:colOff>83820</xdr:colOff>
      <xdr:row>834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90E4152A-CCE2-4E7B-AFA8-D0153C8FF21F}"/>
            </a:ext>
          </a:extLst>
        </xdr:cNvPr>
        <xdr:cNvSpPr/>
      </xdr:nvSpPr>
      <xdr:spPr>
        <a:xfrm>
          <a:off x="11953875" y="139069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832</xdr:row>
      <xdr:rowOff>0</xdr:rowOff>
    </xdr:from>
    <xdr:to>
      <xdr:col>28</xdr:col>
      <xdr:colOff>80647</xdr:colOff>
      <xdr:row>832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9400FA8B-3FE6-4781-918F-FA8A828D38F1}"/>
            </a:ext>
          </a:extLst>
        </xdr:cNvPr>
        <xdr:cNvSpPr/>
      </xdr:nvSpPr>
      <xdr:spPr>
        <a:xfrm rot="10800000">
          <a:off x="11953875" y="138884025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831</xdr:row>
      <xdr:rowOff>0</xdr:rowOff>
    </xdr:from>
    <xdr:to>
      <xdr:col>28</xdr:col>
      <xdr:colOff>80647</xdr:colOff>
      <xdr:row>831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CA30B02C-EB6A-483D-9F08-57C2DCC66CE7}"/>
            </a:ext>
          </a:extLst>
        </xdr:cNvPr>
        <xdr:cNvSpPr/>
      </xdr:nvSpPr>
      <xdr:spPr>
        <a:xfrm rot="10800000">
          <a:off x="11953875" y="138698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830</xdr:row>
      <xdr:rowOff>0</xdr:rowOff>
    </xdr:from>
    <xdr:to>
      <xdr:col>28</xdr:col>
      <xdr:colOff>80647</xdr:colOff>
      <xdr:row>830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D0E98EF2-1B17-410F-8C70-3BC119825130}"/>
            </a:ext>
          </a:extLst>
        </xdr:cNvPr>
        <xdr:cNvSpPr/>
      </xdr:nvSpPr>
      <xdr:spPr>
        <a:xfrm rot="10800000">
          <a:off x="11953875" y="138512550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835</xdr:row>
      <xdr:rowOff>0</xdr:rowOff>
    </xdr:from>
    <xdr:to>
      <xdr:col>28</xdr:col>
      <xdr:colOff>83820</xdr:colOff>
      <xdr:row>835</xdr:row>
      <xdr:rowOff>114300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DCBA365-DD7B-4B24-8E71-4E738242604A}"/>
            </a:ext>
          </a:extLst>
        </xdr:cNvPr>
        <xdr:cNvSpPr/>
      </xdr:nvSpPr>
      <xdr:spPr>
        <a:xfrm>
          <a:off x="12330113" y="1355074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836</xdr:row>
      <xdr:rowOff>0</xdr:rowOff>
    </xdr:from>
    <xdr:to>
      <xdr:col>28</xdr:col>
      <xdr:colOff>83820</xdr:colOff>
      <xdr:row>836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E096437-10BF-4460-8013-822ECC5E5EE1}"/>
            </a:ext>
          </a:extLst>
        </xdr:cNvPr>
        <xdr:cNvSpPr/>
      </xdr:nvSpPr>
      <xdr:spPr>
        <a:xfrm>
          <a:off x="12330113" y="1356883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840</xdr:row>
      <xdr:rowOff>0</xdr:rowOff>
    </xdr:from>
    <xdr:to>
      <xdr:col>28</xdr:col>
      <xdr:colOff>83820</xdr:colOff>
      <xdr:row>840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0C4387C1-95EE-444A-810E-26A296074710}"/>
            </a:ext>
          </a:extLst>
        </xdr:cNvPr>
        <xdr:cNvSpPr/>
      </xdr:nvSpPr>
      <xdr:spPr>
        <a:xfrm>
          <a:off x="12330113" y="1364122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841</xdr:row>
      <xdr:rowOff>0</xdr:rowOff>
    </xdr:from>
    <xdr:to>
      <xdr:col>28</xdr:col>
      <xdr:colOff>83820</xdr:colOff>
      <xdr:row>841</xdr:row>
      <xdr:rowOff>114300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967B0199-03D3-4967-8988-94CE2FCD7166}"/>
            </a:ext>
          </a:extLst>
        </xdr:cNvPr>
        <xdr:cNvSpPr/>
      </xdr:nvSpPr>
      <xdr:spPr>
        <a:xfrm>
          <a:off x="12330113" y="1365932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842</xdr:row>
      <xdr:rowOff>0</xdr:rowOff>
    </xdr:from>
    <xdr:to>
      <xdr:col>28</xdr:col>
      <xdr:colOff>83820</xdr:colOff>
      <xdr:row>842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B5606B06-89EE-4867-9AB2-7B7C7C76F621}"/>
            </a:ext>
          </a:extLst>
        </xdr:cNvPr>
        <xdr:cNvSpPr/>
      </xdr:nvSpPr>
      <xdr:spPr>
        <a:xfrm>
          <a:off x="12330113" y="1367742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847</xdr:row>
      <xdr:rowOff>0</xdr:rowOff>
    </xdr:from>
    <xdr:to>
      <xdr:col>28</xdr:col>
      <xdr:colOff>83820</xdr:colOff>
      <xdr:row>847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BAD6D101-721B-4E21-A674-777FA99A1E01}"/>
            </a:ext>
          </a:extLst>
        </xdr:cNvPr>
        <xdr:cNvSpPr/>
      </xdr:nvSpPr>
      <xdr:spPr>
        <a:xfrm>
          <a:off x="12330113" y="1376791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848</xdr:row>
      <xdr:rowOff>0</xdr:rowOff>
    </xdr:from>
    <xdr:to>
      <xdr:col>28</xdr:col>
      <xdr:colOff>83820</xdr:colOff>
      <xdr:row>848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9CF9605D-3841-4E6B-B21E-82174AF42D03}"/>
            </a:ext>
          </a:extLst>
        </xdr:cNvPr>
        <xdr:cNvSpPr/>
      </xdr:nvSpPr>
      <xdr:spPr>
        <a:xfrm>
          <a:off x="12330113" y="1378600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846</xdr:row>
      <xdr:rowOff>0</xdr:rowOff>
    </xdr:from>
    <xdr:to>
      <xdr:col>28</xdr:col>
      <xdr:colOff>80647</xdr:colOff>
      <xdr:row>846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65BB36F9-54D8-460D-A943-725BD040C00E}"/>
            </a:ext>
          </a:extLst>
        </xdr:cNvPr>
        <xdr:cNvSpPr/>
      </xdr:nvSpPr>
      <xdr:spPr>
        <a:xfrm rot="10800000">
          <a:off x="12330113" y="1376791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845</xdr:row>
      <xdr:rowOff>0</xdr:rowOff>
    </xdr:from>
    <xdr:to>
      <xdr:col>28</xdr:col>
      <xdr:colOff>80647</xdr:colOff>
      <xdr:row>845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858764C-3467-433D-86B8-4F0E9ECB1AF2}"/>
            </a:ext>
          </a:extLst>
        </xdr:cNvPr>
        <xdr:cNvSpPr/>
      </xdr:nvSpPr>
      <xdr:spPr>
        <a:xfrm rot="10800000">
          <a:off x="12330113" y="1374981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844</xdr:row>
      <xdr:rowOff>0</xdr:rowOff>
    </xdr:from>
    <xdr:to>
      <xdr:col>28</xdr:col>
      <xdr:colOff>80647</xdr:colOff>
      <xdr:row>844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E17FD12F-94A7-455A-9E80-D94E550A3F01}"/>
            </a:ext>
          </a:extLst>
        </xdr:cNvPr>
        <xdr:cNvSpPr/>
      </xdr:nvSpPr>
      <xdr:spPr>
        <a:xfrm rot="10800000">
          <a:off x="12330113" y="1373171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843</xdr:row>
      <xdr:rowOff>0</xdr:rowOff>
    </xdr:from>
    <xdr:to>
      <xdr:col>28</xdr:col>
      <xdr:colOff>80647</xdr:colOff>
      <xdr:row>843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A96F5086-7D61-4295-82ED-51BC4F8492B0}"/>
            </a:ext>
          </a:extLst>
        </xdr:cNvPr>
        <xdr:cNvSpPr/>
      </xdr:nvSpPr>
      <xdr:spPr>
        <a:xfrm rot="10800000">
          <a:off x="12330113" y="1371361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839</xdr:row>
      <xdr:rowOff>0</xdr:rowOff>
    </xdr:from>
    <xdr:to>
      <xdr:col>28</xdr:col>
      <xdr:colOff>80647</xdr:colOff>
      <xdr:row>839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176C9D3F-17F2-442B-A0E7-CBD65F95EFAE}"/>
            </a:ext>
          </a:extLst>
        </xdr:cNvPr>
        <xdr:cNvSpPr/>
      </xdr:nvSpPr>
      <xdr:spPr>
        <a:xfrm rot="10800000">
          <a:off x="12330113" y="136412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838</xdr:row>
      <xdr:rowOff>0</xdr:rowOff>
    </xdr:from>
    <xdr:to>
      <xdr:col>28</xdr:col>
      <xdr:colOff>80647</xdr:colOff>
      <xdr:row>838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0F32267-E72F-434C-9C1A-571DF49A97B4}"/>
            </a:ext>
          </a:extLst>
        </xdr:cNvPr>
        <xdr:cNvSpPr/>
      </xdr:nvSpPr>
      <xdr:spPr>
        <a:xfrm rot="10800000">
          <a:off x="12330113" y="1362313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837</xdr:row>
      <xdr:rowOff>0</xdr:rowOff>
    </xdr:from>
    <xdr:to>
      <xdr:col>28</xdr:col>
      <xdr:colOff>80647</xdr:colOff>
      <xdr:row>837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B3A01DC8-8FAB-429B-9CB6-29C453DFC6CA}"/>
            </a:ext>
          </a:extLst>
        </xdr:cNvPr>
        <xdr:cNvSpPr/>
      </xdr:nvSpPr>
      <xdr:spPr>
        <a:xfrm rot="10800000">
          <a:off x="12330113" y="1360503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849</xdr:row>
      <xdr:rowOff>0</xdr:rowOff>
    </xdr:from>
    <xdr:to>
      <xdr:col>28</xdr:col>
      <xdr:colOff>83820</xdr:colOff>
      <xdr:row>849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973D5EAD-F7B7-417B-8383-F99FC1ED044D}"/>
            </a:ext>
          </a:extLst>
        </xdr:cNvPr>
        <xdr:cNvSpPr/>
      </xdr:nvSpPr>
      <xdr:spPr>
        <a:xfrm>
          <a:off x="12330113" y="1380410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850</xdr:row>
      <xdr:rowOff>0</xdr:rowOff>
    </xdr:from>
    <xdr:to>
      <xdr:col>28</xdr:col>
      <xdr:colOff>83820</xdr:colOff>
      <xdr:row>850</xdr:row>
      <xdr:rowOff>114300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784D9C7E-C187-4D89-A936-285471883E44}"/>
            </a:ext>
          </a:extLst>
        </xdr:cNvPr>
        <xdr:cNvSpPr/>
      </xdr:nvSpPr>
      <xdr:spPr>
        <a:xfrm>
          <a:off x="12330113" y="1382220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854</xdr:row>
      <xdr:rowOff>0</xdr:rowOff>
    </xdr:from>
    <xdr:to>
      <xdr:col>28</xdr:col>
      <xdr:colOff>83820</xdr:colOff>
      <xdr:row>854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408B1189-6670-4FB2-9163-9AF14D3BF8FE}"/>
            </a:ext>
          </a:extLst>
        </xdr:cNvPr>
        <xdr:cNvSpPr/>
      </xdr:nvSpPr>
      <xdr:spPr>
        <a:xfrm>
          <a:off x="12330113" y="1389459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855</xdr:row>
      <xdr:rowOff>0</xdr:rowOff>
    </xdr:from>
    <xdr:to>
      <xdr:col>28</xdr:col>
      <xdr:colOff>83820</xdr:colOff>
      <xdr:row>855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2AB3A3F7-3844-47CE-A188-6055BE721F06}"/>
            </a:ext>
          </a:extLst>
        </xdr:cNvPr>
        <xdr:cNvSpPr/>
      </xdr:nvSpPr>
      <xdr:spPr>
        <a:xfrm>
          <a:off x="12330113" y="1391269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853</xdr:row>
      <xdr:rowOff>0</xdr:rowOff>
    </xdr:from>
    <xdr:to>
      <xdr:col>28</xdr:col>
      <xdr:colOff>80647</xdr:colOff>
      <xdr:row>853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19C9BADC-B2FC-4C8D-8968-9FE33AAE27D7}"/>
            </a:ext>
          </a:extLst>
        </xdr:cNvPr>
        <xdr:cNvSpPr/>
      </xdr:nvSpPr>
      <xdr:spPr>
        <a:xfrm rot="10800000">
          <a:off x="12330113" y="1389459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852</xdr:row>
      <xdr:rowOff>0</xdr:rowOff>
    </xdr:from>
    <xdr:to>
      <xdr:col>28</xdr:col>
      <xdr:colOff>80647</xdr:colOff>
      <xdr:row>852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167832F-F244-4830-8778-EC31CA876288}"/>
            </a:ext>
          </a:extLst>
        </xdr:cNvPr>
        <xdr:cNvSpPr/>
      </xdr:nvSpPr>
      <xdr:spPr>
        <a:xfrm rot="10800000">
          <a:off x="12330113" y="1387649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851</xdr:row>
      <xdr:rowOff>0</xdr:rowOff>
    </xdr:from>
    <xdr:to>
      <xdr:col>28</xdr:col>
      <xdr:colOff>80647</xdr:colOff>
      <xdr:row>851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31964FFB-D970-4080-A583-1969704CC9A2}"/>
            </a:ext>
          </a:extLst>
        </xdr:cNvPr>
        <xdr:cNvSpPr/>
      </xdr:nvSpPr>
      <xdr:spPr>
        <a:xfrm rot="10800000">
          <a:off x="12330113" y="1385839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856</xdr:row>
      <xdr:rowOff>0</xdr:rowOff>
    </xdr:from>
    <xdr:to>
      <xdr:col>28</xdr:col>
      <xdr:colOff>83820</xdr:colOff>
      <xdr:row>856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769741DF-21DD-4DE0-B8E6-36ED93B30AF3}"/>
            </a:ext>
          </a:extLst>
        </xdr:cNvPr>
        <xdr:cNvSpPr/>
      </xdr:nvSpPr>
      <xdr:spPr>
        <a:xfrm>
          <a:off x="12330113" y="1393078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861</xdr:row>
      <xdr:rowOff>0</xdr:rowOff>
    </xdr:from>
    <xdr:to>
      <xdr:col>28</xdr:col>
      <xdr:colOff>83820</xdr:colOff>
      <xdr:row>861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EFAFC301-D707-4E2B-BB72-9BE2A31FB751}"/>
            </a:ext>
          </a:extLst>
        </xdr:cNvPr>
        <xdr:cNvSpPr/>
      </xdr:nvSpPr>
      <xdr:spPr>
        <a:xfrm>
          <a:off x="12330113" y="1402127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862</xdr:row>
      <xdr:rowOff>0</xdr:rowOff>
    </xdr:from>
    <xdr:to>
      <xdr:col>28</xdr:col>
      <xdr:colOff>83820</xdr:colOff>
      <xdr:row>862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822F6FF-C6AA-4792-B357-7F511A9649D1}"/>
            </a:ext>
          </a:extLst>
        </xdr:cNvPr>
        <xdr:cNvSpPr/>
      </xdr:nvSpPr>
      <xdr:spPr>
        <a:xfrm>
          <a:off x="12330113" y="1403937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860</xdr:row>
      <xdr:rowOff>0</xdr:rowOff>
    </xdr:from>
    <xdr:to>
      <xdr:col>28</xdr:col>
      <xdr:colOff>80647</xdr:colOff>
      <xdr:row>860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6D74FEBD-12D3-44A0-8CD1-5EC06237CC45}"/>
            </a:ext>
          </a:extLst>
        </xdr:cNvPr>
        <xdr:cNvSpPr/>
      </xdr:nvSpPr>
      <xdr:spPr>
        <a:xfrm rot="10800000">
          <a:off x="12330113" y="1402127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859</xdr:row>
      <xdr:rowOff>0</xdr:rowOff>
    </xdr:from>
    <xdr:to>
      <xdr:col>28</xdr:col>
      <xdr:colOff>80647</xdr:colOff>
      <xdr:row>859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5271E70C-175E-48ED-985C-D2C0AB481234}"/>
            </a:ext>
          </a:extLst>
        </xdr:cNvPr>
        <xdr:cNvSpPr/>
      </xdr:nvSpPr>
      <xdr:spPr>
        <a:xfrm rot="10800000">
          <a:off x="12330113" y="1400317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858</xdr:row>
      <xdr:rowOff>0</xdr:rowOff>
    </xdr:from>
    <xdr:to>
      <xdr:col>28</xdr:col>
      <xdr:colOff>80647</xdr:colOff>
      <xdr:row>858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CD3B2E8D-0E8B-4916-A6F5-3048F7210C7C}"/>
            </a:ext>
          </a:extLst>
        </xdr:cNvPr>
        <xdr:cNvSpPr/>
      </xdr:nvSpPr>
      <xdr:spPr>
        <a:xfrm rot="10800000">
          <a:off x="12330113" y="1398508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857</xdr:row>
      <xdr:rowOff>0</xdr:rowOff>
    </xdr:from>
    <xdr:to>
      <xdr:col>28</xdr:col>
      <xdr:colOff>80647</xdr:colOff>
      <xdr:row>857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B1D72002-87FD-43DA-BDDF-0A501A1A279A}"/>
            </a:ext>
          </a:extLst>
        </xdr:cNvPr>
        <xdr:cNvSpPr/>
      </xdr:nvSpPr>
      <xdr:spPr>
        <a:xfrm rot="10800000">
          <a:off x="12330113" y="1396698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59"/>
  <sheetViews>
    <sheetView tabSelected="1" topLeftCell="A885" zoomScaleNormal="100" workbookViewId="0">
      <selection activeCell="N866" sqref="N866"/>
    </sheetView>
  </sheetViews>
  <sheetFormatPr defaultRowHeight="14.25" outlineLevelCol="1" x14ac:dyDescent="0.45"/>
  <cols>
    <col min="1" max="1" width="3.33203125" customWidth="1"/>
    <col min="2" max="2" width="10.06640625" customWidth="1"/>
    <col min="3" max="3" width="1.796875" customWidth="1"/>
    <col min="4" max="4" width="11.86328125" customWidth="1"/>
    <col min="5" max="5" width="1" customWidth="1"/>
    <col min="6" max="6" width="2" customWidth="1"/>
    <col min="7" max="7" width="0.796875" customWidth="1"/>
    <col min="8" max="8" width="11.53125" customWidth="1"/>
    <col min="9" max="9" width="2.19921875" customWidth="1"/>
    <col min="10" max="10" width="8" customWidth="1"/>
    <col min="11" max="11" width="1.19921875" customWidth="1"/>
    <col min="12" max="12" width="2.53125" customWidth="1"/>
    <col min="13" max="13" width="2.19921875" customWidth="1"/>
    <col min="14" max="14" width="12.19921875" customWidth="1"/>
    <col min="15" max="15" width="9.46484375" customWidth="1"/>
    <col min="16" max="16" width="1.19921875" customWidth="1"/>
    <col min="17" max="17" width="10" customWidth="1" outlineLevel="1"/>
    <col min="18" max="18" width="1.19921875" customWidth="1" outlineLevel="1"/>
    <col min="19" max="19" width="10.53125" customWidth="1" outlineLevel="1"/>
    <col min="20" max="21" width="1.19921875" customWidth="1" outlineLevel="1"/>
    <col min="22" max="22" width="5.06640625" customWidth="1"/>
    <col min="23" max="23" width="8.86328125" customWidth="1"/>
    <col min="24" max="24" width="1.796875" customWidth="1"/>
    <col min="25" max="25" width="2.53125" customWidth="1"/>
    <col min="26" max="26" width="1.46484375" customWidth="1"/>
    <col min="27" max="27" width="9.53125" customWidth="1"/>
    <col min="28" max="28" width="2.33203125" customWidth="1"/>
    <col min="29" max="29" width="5.6640625" customWidth="1"/>
    <col min="30" max="30" width="1" customWidth="1"/>
    <col min="31" max="31" width="8.06640625" customWidth="1"/>
    <col min="32" max="32" width="1.6640625" customWidth="1"/>
    <col min="33" max="33" width="12.53125" hidden="1" customWidth="1" outlineLevel="1"/>
    <col min="34" max="34" width="11" hidden="1" customWidth="1" outlineLevel="1"/>
    <col min="35" max="35" width="8.06640625" hidden="1" customWidth="1" outlineLevel="1"/>
    <col min="36" max="36" width="2.19921875" hidden="1" customWidth="1" outlineLevel="1"/>
    <col min="37" max="37" width="3.53125" customWidth="1" collapsed="1"/>
    <col min="38" max="38" width="9.86328125" customWidth="1"/>
    <col min="39" max="39" width="1" customWidth="1"/>
    <col min="40" max="40" width="1.46484375" customWidth="1"/>
    <col min="41" max="41" width="1.19921875" customWidth="1"/>
    <col min="42" max="42" width="11.33203125" customWidth="1"/>
    <col min="43" max="43" width="1.33203125" customWidth="1"/>
    <col min="44" max="44" width="10.19921875" customWidth="1"/>
    <col min="45" max="45" width="1.53125" customWidth="1"/>
    <col min="46" max="46" width="2.19921875" customWidth="1"/>
    <col min="47" max="47" width="1.33203125" customWidth="1"/>
    <col min="48" max="48" width="7.46484375" customWidth="1"/>
    <col min="49" max="49" width="2" customWidth="1"/>
    <col min="50" max="50" width="9.19921875" customWidth="1"/>
    <col min="51" max="51" width="0.86328125" customWidth="1"/>
    <col min="52" max="52" width="4" customWidth="1"/>
    <col min="53" max="53" width="13.86328125" customWidth="1"/>
    <col min="54" max="54" width="1.06640625" customWidth="1"/>
    <col min="55" max="55" width="13.6640625" customWidth="1"/>
    <col min="56" max="56" width="1.33203125" customWidth="1"/>
    <col min="57" max="57" width="12.19921875" customWidth="1"/>
    <col min="58" max="58" width="1.06640625" customWidth="1"/>
    <col min="59" max="59" width="12.19921875" customWidth="1"/>
    <col min="60" max="60" width="1.06640625" customWidth="1"/>
    <col min="61" max="61" width="3.86328125" customWidth="1"/>
    <col min="62" max="62" width="1.46484375" hidden="1" customWidth="1" outlineLevel="1"/>
    <col min="63" max="63" width="15.06640625" hidden="1" customWidth="1" outlineLevel="1"/>
    <col min="64" max="64" width="0.86328125" hidden="1" customWidth="1" outlineLevel="1"/>
    <col min="65" max="65" width="6.86328125" hidden="1" customWidth="1" outlineLevel="1"/>
    <col min="66" max="66" width="10.06640625" customWidth="1" collapsed="1"/>
    <col min="67" max="67" width="0.86328125" customWidth="1"/>
    <col min="68" max="68" width="13.33203125" customWidth="1"/>
    <col min="69" max="69" width="1" customWidth="1"/>
    <col min="70" max="70" width="11.6640625" customWidth="1"/>
    <col min="71" max="71" width="1.06640625" customWidth="1"/>
    <col min="72" max="72" width="3.46484375" customWidth="1"/>
    <col min="73" max="73" width="0.796875" customWidth="1"/>
    <col min="74" max="74" width="1.86328125" customWidth="1"/>
    <col min="75" max="75" width="6.6640625" customWidth="1"/>
    <col min="76" max="76" width="1.796875" customWidth="1"/>
    <col min="77" max="77" width="14.06640625" customWidth="1"/>
    <col min="78" max="78" width="2.06640625" customWidth="1"/>
    <col min="79" max="79" width="11.46484375" customWidth="1"/>
    <col min="80" max="80" width="1.33203125" customWidth="1"/>
    <col min="81" max="81" width="11.46484375" customWidth="1"/>
    <col min="82" max="82" width="1.06640625" customWidth="1"/>
    <col min="83" max="83" width="3.19921875" customWidth="1"/>
    <col min="84" max="84" width="1.46484375" customWidth="1"/>
    <col min="85" max="85" width="7.796875" customWidth="1"/>
    <col min="86" max="86" width="1" customWidth="1"/>
    <col min="87" max="87" width="7.19921875" customWidth="1"/>
    <col min="88" max="88" width="1.46484375" customWidth="1"/>
    <col min="89" max="89" width="4.796875" customWidth="1"/>
    <col min="90" max="90" width="12.19921875" customWidth="1"/>
  </cols>
  <sheetData>
    <row r="1" spans="2:90" ht="15.75" x14ac:dyDescent="0.5">
      <c r="B1" s="612" t="s">
        <v>5</v>
      </c>
      <c r="C1" s="612"/>
      <c r="D1" s="612"/>
    </row>
    <row r="2" spans="2:90" ht="15.75" x14ac:dyDescent="0.5">
      <c r="B2" s="612" t="s">
        <v>6</v>
      </c>
      <c r="C2" s="612"/>
      <c r="D2" s="61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149999999999999" thickBot="1" x14ac:dyDescent="0.55000000000000004">
      <c r="B3" s="615" t="s">
        <v>13</v>
      </c>
      <c r="C3" s="61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149999999999999" thickBot="1" x14ac:dyDescent="0.55000000000000004">
      <c r="E4" s="9"/>
      <c r="F4" s="9"/>
      <c r="J4" s="613" t="s">
        <v>11</v>
      </c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11"/>
      <c r="AE4" s="282"/>
      <c r="AF4" s="404"/>
      <c r="AG4" s="404"/>
      <c r="AH4" s="404"/>
      <c r="AI4" s="404"/>
      <c r="AJ4" s="12"/>
      <c r="AL4" s="592" t="s">
        <v>14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4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45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45">
      <c r="D6" s="290" t="s">
        <v>7</v>
      </c>
      <c r="E6" s="291"/>
      <c r="F6" s="616" t="s">
        <v>12</v>
      </c>
      <c r="G6" s="616"/>
      <c r="H6" s="616"/>
      <c r="I6" s="616"/>
      <c r="J6" s="616"/>
      <c r="K6" s="616"/>
      <c r="L6" s="616"/>
      <c r="M6" s="292"/>
      <c r="N6" s="499"/>
      <c r="O6" s="292"/>
      <c r="P6" s="293"/>
      <c r="Q6" s="622" t="s">
        <v>111</v>
      </c>
      <c r="R6" s="616"/>
      <c r="S6" s="616"/>
      <c r="T6" s="616"/>
      <c r="U6" s="623"/>
      <c r="V6" s="3"/>
      <c r="W6" s="8" t="s">
        <v>7</v>
      </c>
      <c r="X6" s="30"/>
      <c r="Y6" s="617">
        <v>1.2500000000000001E-2</v>
      </c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8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6"/>
      <c r="BC6" s="596"/>
      <c r="BD6" s="85"/>
      <c r="BE6" s="595" t="s">
        <v>24</v>
      </c>
      <c r="BF6" s="595"/>
      <c r="BG6" s="595"/>
      <c r="BH6" s="595"/>
      <c r="BI6" s="595"/>
      <c r="BJ6" s="595"/>
      <c r="BK6" s="595"/>
      <c r="BL6" s="595"/>
      <c r="BM6" s="595"/>
      <c r="BN6" s="595"/>
      <c r="BO6" s="595"/>
      <c r="BP6" s="595"/>
      <c r="BQ6" s="595"/>
      <c r="BR6" s="596"/>
      <c r="BS6" s="596"/>
      <c r="BT6" s="596"/>
      <c r="BU6" s="597"/>
      <c r="BV6" s="3"/>
    </row>
    <row r="7" spans="2:90" ht="15.75" x14ac:dyDescent="0.45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9" t="s">
        <v>33</v>
      </c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1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45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0" t="s">
        <v>1</v>
      </c>
      <c r="BB8" s="591"/>
      <c r="BC8" s="591"/>
      <c r="BD8" s="63"/>
      <c r="BE8" s="591" t="s">
        <v>22</v>
      </c>
      <c r="BF8" s="591"/>
      <c r="BG8" s="591"/>
      <c r="BH8" s="591"/>
      <c r="BI8" s="605"/>
      <c r="BJ8" s="606" t="s">
        <v>111</v>
      </c>
      <c r="BK8" s="607"/>
      <c r="BL8" s="607"/>
      <c r="BM8" s="608"/>
      <c r="BN8" s="590" t="s">
        <v>22</v>
      </c>
      <c r="BO8" s="591"/>
      <c r="BP8" s="591"/>
      <c r="BQ8" s="63"/>
      <c r="BR8" s="93"/>
      <c r="BS8" s="421"/>
      <c r="BT8" s="94"/>
      <c r="BU8" s="168"/>
    </row>
    <row r="9" spans="2:90" x14ac:dyDescent="0.45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45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45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45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45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45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45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45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45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45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45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45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45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45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45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45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45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45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45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45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45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45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45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45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45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45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45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45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45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45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45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45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45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45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45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45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45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45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45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45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45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45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45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45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45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45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45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45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45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45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45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45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45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45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45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45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45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45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45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45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45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45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45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45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45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45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45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45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45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45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45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45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45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45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45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45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45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45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45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45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45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45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45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45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45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45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45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45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45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45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45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45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45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45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45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45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45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45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45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45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45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45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45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45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45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45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45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45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45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45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45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45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45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45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45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45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45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45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45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45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45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45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45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SUM(D102:D914)</f>
        <v>77618438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45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45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45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45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45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45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45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SUM(D109:D920)</f>
        <v>77389664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45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45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45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45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45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45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45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SUM(D116:D927)</f>
        <v>77045704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45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45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45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45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45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45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45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SUM(D123:D937)</f>
        <v>76650834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45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SUM(D124:D938)</f>
        <v>76589115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45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SUM(D125:D939)</f>
        <v>76530766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45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SUM(D126:D940)</f>
        <v>76465278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45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SUM(D127:D941)</f>
        <v>76399230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45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SUM(D128:D942)</f>
        <v>76327235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45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SUM(D129:D943)</f>
        <v>153253847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45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SUM(D130:D944)</f>
        <v>153178860.23262841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45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SUM(D131:D945)</f>
        <v>153115601.23262841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45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SUM(D132:D946)</f>
        <v>484050322.23262841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45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SUM(D133:D947)</f>
        <v>528341443.23262841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45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SUM(D134:D948)</f>
        <v>528273964.30462843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45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SUM(D135:D949)</f>
        <v>528201997.30462843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45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SUM(D136:D950)</f>
        <v>528132554.34662843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45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SUM(D137:D951)</f>
        <v>529055520.34662843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45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SUM(D138:D952)</f>
        <v>528988107.34662843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45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SUM(D139:D953)</f>
        <v>528931977.34662843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45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SUM(D140:D954)</f>
        <v>528870406.34662843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45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SUM(D141:D955)</f>
        <v>528805677.34662843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45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SUM(D142:D956)</f>
        <v>528738756.34662843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45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SUM(D143:D957)</f>
        <v>528670187.34662843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45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SUM(D144:D958)</f>
        <v>528599104.34662843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45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SUM(D145:D959)</f>
        <v>528540563.34662843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45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SUM(D146:D960)</f>
        <v>528491525.34662843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45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SUM(D147:D961)</f>
        <v>528442879.34662843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45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SUM(D148:D962)</f>
        <v>528388315.34662843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45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SUM(D149:D963)</f>
        <v>528333167.34662843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45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SUM(D150:D964)</f>
        <v>528274457.34662843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45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SUM(D151:D965)</f>
        <v>528211211.34662843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45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SUM(D152:D966)</f>
        <v>528157012.34662843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45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SUM(D153:D967)</f>
        <v>528109163.34662843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45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SUM(D154:D968)</f>
        <v>528059363.34662843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45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SUM(D155:D969)</f>
        <v>528004844.34662843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45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SUM(D156:D970)</f>
        <v>527950499.34662843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45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SUM(D157:D971)</f>
        <v>527895135.34662843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45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SUM(D158:D972)</f>
        <v>527834535.34662843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45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SUM(D159:D973)</f>
        <v>527781012.34662843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45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SUM(D160:D974)</f>
        <v>527744169.34662843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45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SUM(D161:D975)</f>
        <v>527703557.34662843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45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SUM(D162:D976)</f>
        <v>527659558.34662843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45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SUM(D163:D977)</f>
        <v>527614585.34662843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45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SUM(D164:D978)</f>
        <v>527569228.34662843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45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SUM(D165:D979)</f>
        <v>527518747.34662843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45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SUM(D166:D980)</f>
        <v>527474918.34662843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45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SUM(D167:D981)</f>
        <v>527442200.34662843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45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SUM(D168:D982)</f>
        <v>527400716.34662843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45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SUM(D169:D983)</f>
        <v>527360618.34662843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45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SUM(D170:D984)</f>
        <v>527315981.34662843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45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SUM(D171:D985)</f>
        <v>527269975.34662843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45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SUM(D172:D986)</f>
        <v>527220374.34662843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45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SUM(D173:D987)</f>
        <v>527177714.34662843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45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SUM(D174:D988)</f>
        <v>527143733.34662843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45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SUM(D175:D989)</f>
        <v>527105173.34662843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45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SUM(D176:D990)</f>
        <v>527063194.34662843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45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SUM(D177:D991)</f>
        <v>527021983.34662843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45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SUM(D178:D992)</f>
        <v>526976519.34662843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45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SUM(D179:D993)</f>
        <v>526923670.34662843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45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SUM(D180:D994)</f>
        <v>526881578.34662843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45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SUM(D181:D995)</f>
        <v>526850468.34662843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45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SUM(D182:D999)</f>
        <v>526825048.34662843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45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SUM(D183:D1000)</f>
        <v>526796609.34662843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45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SUM(D184:D1001)</f>
        <v>526761366.34662843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45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SUM(D185:D1002)</f>
        <v>560436841.06091416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45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SUM(D186:D1003)</f>
        <v>611247383.91805696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45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SUM(D187:D1004)</f>
        <v>679779530.4894855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45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SUM(D188:D1006)</f>
        <v>679747673.4894855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45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SUM(D189:D1007)</f>
        <v>857294877.06091404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45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SUM(D190:D1011)</f>
        <v>857258430.06091404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45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SUM(D191:D1012)</f>
        <v>857218276.06091404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45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SUM(D192:D1013)</f>
        <v>857171981.06091404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45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SUM(D193:D1014)</f>
        <v>857120636.06091404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45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SUM(D194:D1015)</f>
        <v>857077023.06091404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45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SUM(D195:D1016)</f>
        <v>857043637.06091404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45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SUM(D196:D1022)</f>
        <v>857006833.06091404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45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SUM(D197:D1023)</f>
        <v>856971137.06091404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45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SUM(D198:D1024)</f>
        <v>856929521.06091404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45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SUM(D199:D1025)</f>
        <v>856884166.06091404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45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SUM(D200:D1027)</f>
        <v>856830537.06091404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45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SUM(D201:D1029)</f>
        <v>856787331.06091404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45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SUM(D202:D1030)</f>
        <v>856753549.06091404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45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SUM(D203:D1031)</f>
        <v>856716131.06091404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45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SUM(D204:D1032)</f>
        <v>856671904.06091404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45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SUM(D205:D1033)</f>
        <v>856630975.06091404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45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SUM(D206:D1034)</f>
        <v>856583586.06091404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45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SUM(D207:D1035)</f>
        <v>856532183.06091404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45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SUM(D208:D1036)</f>
        <v>856483258.06091404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45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SUM(D209:D1037)</f>
        <v>856449192.06091404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45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SUM(D210:D1038)</f>
        <v>856411475.06091404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45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SUM(D211:D1039)</f>
        <v>856366807.06091404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45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SUM(D212:D1040)</f>
        <v>856317449.06091404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45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SUM(D213:D1041)</f>
        <v>856260131.06091404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45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SUM(D214:D1042)</f>
        <v>856199148.06091404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45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SUM(D215:D1043)</f>
        <v>856144913.06091404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45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SUM(D216:D1044)</f>
        <v>856102978.06091404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45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SUM(D217:D1045)</f>
        <v>856057187.06091404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45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SUM(D218:D1046)</f>
        <v>856005653.06091404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45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SUM(D219:D1047)</f>
        <v>855945960.06091404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45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SUM(D220:D1048)</f>
        <v>855879831.06091404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45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SUM(D221:D1049)</f>
        <v>855808144.06091404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45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SUM(D222:D1050)</f>
        <v>855753912.06091404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45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SUM(D223:D1051)</f>
        <v>855708971.06091404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45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SUM(D224:D1052)</f>
        <v>855651644.06091404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45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SUM(D225:D1053)</f>
        <v>855589572.06091404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45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SUM(D226:D1054)</f>
        <v>855525909.06091404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45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SUM(D227:D1055)</f>
        <v>855451608.06091404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45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SUM(D228:D1056)</f>
        <v>855370194.06091404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45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SUM(D229:D1057)</f>
        <v>855290745.06091404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45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SUM(D230:D1058)</f>
        <v>855229856.06091404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45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SUM(D231:D1059)</f>
        <v>855160015.06091404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45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SUM(D232:D1060)</f>
        <v>855084943.06091404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45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SUM(D233:D1061)</f>
        <v>855003362.06091404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45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SUM(D234:D1062)</f>
        <v>854911832.06091404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45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SUM(D235:D1063)</f>
        <v>854810371.06091404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45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SUM(D236:D1064)</f>
        <v>854724078.06091404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45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SUM(D237:D1065)</f>
        <v>854652757.06091404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45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SUM(D238:D1066)</f>
        <v>854563852.06091404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45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SUM(D239:D1067)</f>
        <v>854469385.06091404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45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SUM(D240:D1068)</f>
        <v>854360996.06091404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45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SUM(D241:D1069)</f>
        <v>854242677.06091404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45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SUM(D242:D1070)</f>
        <v>854110136.06091404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45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SUM(D243:D1071)</f>
        <v>853985746.06091404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45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SUM(D244:D1072)</f>
        <v>853883020.06091404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45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SUM(D245:D1073)</f>
        <v>853757331.06091404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45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SUM(D246:D1074)</f>
        <v>853621678.06091404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45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SUM(D247:D1075)</f>
        <v>853478772.06091404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45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SUM(D248:D1076)</f>
        <v>853317231.06091404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45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SUM(D249:D1077)</f>
        <v>853133704.06091404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45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SUM(D250:D1078)</f>
        <v>852976451.06091404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45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SUM(D251:D1079)</f>
        <v>852838202.06091404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45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SUM(D252:D1080)</f>
        <v>852676053.06091404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45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SUM(D253:D1081)</f>
        <v>852518792.06091404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45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SUM(D254:D1082)</f>
        <v>852345024.06091404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45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SUM(D255:D1083)</f>
        <v>852152838.06091404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45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SUM(D256:D1084)</f>
        <v>851948659.06091404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45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SUM(D257:D1085)</f>
        <v>851775820.06091404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45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SUM(D258:D1086)</f>
        <v>851639193.06091404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45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SUM(D259:D1087)</f>
        <v>851466893.06091404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45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SUM(D260:D1088)</f>
        <v>851289811.06091404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45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SUM(D261:D1089)</f>
        <v>851108908.06091404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45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SUM(D262:D1090)</f>
        <v>851000845.06091404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45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SUM(D263:D1091)</f>
        <v>850836833.06091404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45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SUM(D264:D1092)</f>
        <v>850693460.06091404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45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SUM(D265:D1093)</f>
        <v>850555272.06091404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45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SUM(D266:D1094)</f>
        <v>850393704.06091404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45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SUM(D267:D1095)</f>
        <v>850211428.06091404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45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SUM(D268:D1096)</f>
        <v>850007691.06091404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45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SUM(D269:D1097)</f>
        <v>849789115.06091404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45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SUM(D270:D1098)</f>
        <v>849553843.06091404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45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SUM(D271:D1099)</f>
        <v>849341360.06091404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45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SUM(D272:D1100)</f>
        <v>849158581.06091404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45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SUM(D273:D1101)</f>
        <v>848958496.06091404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45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SUM(D274:D1102)</f>
        <v>848748740.06091404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45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SUM(D275:D1103)</f>
        <v>848521787.06091404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45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SUM(D276:D1104)</f>
        <v>848294473.06091404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45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SUM(D277:D1105)</f>
        <v>848047712.06091404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45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SUM(D278:D1106)</f>
        <v>847827414.06091404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45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SUM(D279:D1107)</f>
        <v>847639513.06091404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45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SUM(D280:D1108)</f>
        <v>847439781.06091404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45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SUM(D281:D1109)</f>
        <v>847239746.06091404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45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SUM(D282:D1110)</f>
        <v>846989573.06091404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45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SUM(D283:D1111)</f>
        <v>846751701.06091404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45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SUM(D284:D1112)</f>
        <v>846497021.06091404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45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SUM(D285:D1113)</f>
        <v>846307371.06091404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45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SUM(D286:D1114)</f>
        <v>846119091.06091404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45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SUM(D287:D1115)</f>
        <v>845918982.06091404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45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SUM(D288:D1116)</f>
        <v>845719902.06091404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45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SUM(D289:D1117)</f>
        <v>845487560.06091404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45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SUM(D290:D1118)</f>
        <v>845294530.06091404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45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SUM(D291:D1119)</f>
        <v>845195690.06091404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45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SUM(D292:D1120)</f>
        <v>845035086.06091404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45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SUM(D293:D1121)</f>
        <v>844907346.06091404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45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SUM(D294:D1122)</f>
        <v>844720955.06091404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45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SUM(D295:D1123)</f>
        <v>844521333.06091404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45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SUM(D296:D1124)</f>
        <v>844286558.06091404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45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SUM(D297:D1125)</f>
        <v>844058145.06091404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45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SUM(D298:D1126)</f>
        <v>843892101.06091404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45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SUM(D299:D1127)</f>
        <v>843659874.06091404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45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SUM(D300:D1128)</f>
        <v>843465537.06091404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45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SUM(D301:D1129)</f>
        <v>843275375.06091404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45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SUM(D302:D1130)</f>
        <v>843040664.06091404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45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SUM(D303:D1131)</f>
        <v>842779691.06091404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45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SUM(D304:D1132)</f>
        <v>842505501.06091404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45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SUM(D305:D1133)</f>
        <v>842199052.06091404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45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SUM(D306:D1134)</f>
        <v>841949358.06091404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45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SUM(D307:D1135)</f>
        <v>841728531.06091404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45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SUM(D308:D1136)</f>
        <v>841513848.06091404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45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SUM(D309:D1137)</f>
        <v>841290220.06091404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45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SUM(D310:D1138)</f>
        <v>841052147.06091404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45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SUM(D311:D1139)</f>
        <v>840817728.06091404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45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SUM(D312:D1140)</f>
        <v>840568922.06091404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45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SUM(D313:D1141)</f>
        <v>840366155.06091404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45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SUM(D314:D1142)</f>
        <v>840191595.06091404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45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SUM(D315:D1143)</f>
        <v>840042267.06091404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45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SUM(D316:D1144)</f>
        <v>839867889.06091404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45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SUM(D317:D1145)</f>
        <v>839677808.06091404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45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SUM(D318:D1146)</f>
        <v>839484050.06091404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45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SUM(D319:D1147)</f>
        <v>839291985.06091404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45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SUM(D320:D1148)</f>
        <v>839118918.06091404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45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SUM(D321:D1149)</f>
        <v>838983736.06091404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45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SUM(D322:D1150)</f>
        <v>838831492.06091404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45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SUM(D323:D1151)</f>
        <v>838679765.06091404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45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SUM(D324:D1152)</f>
        <v>838519734.06091404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45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SUM(D325:D1153)</f>
        <v>838357101.06091404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45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SUM(D326:D1154)</f>
        <v>838188068.06091404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45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SUM(D327:D1155)</f>
        <v>838047336.06091404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45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SUM(D328:D1156)</f>
        <v>837939520.06091404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45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SUM(D329:D1157)</f>
        <v>837813068.06091404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45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SUM(D330:D1158)</f>
        <v>837696841.06091404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45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SUM(D331:D1159)</f>
        <v>837583382.06091404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45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SUM(D332:D1160)</f>
        <v>837461645.06091404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45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SUM(D333:D1161)</f>
        <v>837335520.06091404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45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SUM(D334:D1162)</f>
        <v>837229537.06091404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45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SUM(D335:D1163)</f>
        <v>837138281.06091404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45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SUM(D336:D1164)</f>
        <v>837047935.06091404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45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SUM(D337:D1165)</f>
        <v>836952393.06091404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45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SUM(D338:D1166)</f>
        <v>836855587.06091404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45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SUM(D339:D1167)</f>
        <v>836751343.06091404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45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SUM(D340:D1168)</f>
        <v>836651055.06091404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45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SUM(D341:D1169)</f>
        <v>836564571.06091404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45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SUM(D342:D1170)</f>
        <v>836500274.06091404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45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SUM(D343:D1171)</f>
        <v>836447489.06091404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45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SUM(D344:D1172)</f>
        <v>836384091.06091404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45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SUM(D345:D1173)</f>
        <v>836312451.06091404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45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SUM(D346:D1174)</f>
        <v>836243527.06091404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45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SUM(D347:D1175)</f>
        <v>836157988.06091404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45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SUM(D348:D1176)</f>
        <v>836088371.06091404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45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SUM(D349:D1177)</f>
        <v>836031146.06091404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45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SUM(D350:D1178)</f>
        <v>835960092.06091404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45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SUM(D351:D1179)</f>
        <v>835886388.06091404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45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SUM(D352:D1180)</f>
        <v>835811089.06091404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45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SUM(D353:D1181)</f>
        <v>835733712.06091404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45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SUM(D354:D1182)</f>
        <v>835653087.06091404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45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SUM(D355:D1183)</f>
        <v>835588767.06091404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45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SUM(D356:D1184)</f>
        <v>835539355.06091404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45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SUM(D357:D1185)</f>
        <v>835484174.06091404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45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SUM(D358:D1186)</f>
        <v>835427284.06091404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45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SUM(D359:D1187)</f>
        <v>835360059.06091404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45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SUM(D360:D1188)</f>
        <v>835291738.06091404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45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SUM(D361:D1189)</f>
        <v>835222498.06091404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45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SUM(D362:D1190)</f>
        <v>835164270.06091404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45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SUM(D363:D1191)</f>
        <v>835122303.06091404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45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SUM(D364:D1192)</f>
        <v>835076935.06091404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45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SUM(D365:D1193)</f>
        <v>835021252.06091404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45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SUM(D366:D1194)</f>
        <v>834959892.06091404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45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SUM(D367:D1195)</f>
        <v>834897119.06091404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45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SUM(D368:D1196)</f>
        <v>834830334.06091404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45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SUM(D369:D1197)</f>
        <v>834780616.06091404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45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SUM(D370:D1198)</f>
        <v>834743720.06091404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45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SUM(D371:D1199)</f>
        <v>834696953.06091404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45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SUM(D372:D1200)</f>
        <v>834643722.06091404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45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SUM(D373:D1201)</f>
        <v>834580227.06091404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45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SUM(D374:D1202)</f>
        <v>834517598.06091404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45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SUM(D375:D1203)</f>
        <v>834451185.06091404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45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SUM(D376:D1204)</f>
        <v>834395277.06091404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45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SUM(D377:D1205)</f>
        <v>834355772.06091404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45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SUM(D378:D1206)</f>
        <v>834310024.06091404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45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SUM(D379:D1207)</f>
        <v>834251319.06091404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45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SUM(D380:D1208)</f>
        <v>834184781.06091404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45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SUM(D381:D1209)</f>
        <v>834117735.06091404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45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SUM(D382:D1210)</f>
        <v>834040759.06091404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45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SUM(D383:D1211)</f>
        <v>833977100.06091404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45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SUM(D384:D1212)</f>
        <v>833933004.06091404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45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SUM(D385:D1213)</f>
        <v>833872806.06091404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45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SUM(D386:D1214)</f>
        <v>833810347.06091404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45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SUM(D387:D1215)</f>
        <v>833741591.06091404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45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SUM(D388:D1216)</f>
        <v>833697340.06091404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45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SUM(D389:D1217)</f>
        <v>833627316.06091404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45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SUM(D390:D1218)</f>
        <v>833561162.06091404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45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SUM(D391:D1219)</f>
        <v>833524179.06091404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45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SUM(D392:D1220)</f>
        <v>833466535.06091404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45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SUM(D393:D1221)</f>
        <v>833404252.06091404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45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SUM(D394:D1222)</f>
        <v>833329069.06091404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45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SUM(D395:D1223)</f>
        <v>833248908.06091404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45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SUM(D396:D1224)</f>
        <v>833163540.06091404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45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SUM(D397:D1225)</f>
        <v>833096760.06091404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45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SUM(D398:D1226)</f>
        <v>833048886.06091404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45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SUM(D399:D1227)</f>
        <v>832992364.06091404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45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SUM(D400:D1228)</f>
        <v>832914644.06091404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45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SUM(D401:D1229)</f>
        <v>832836205.06091404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45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SUM(D402:D1230)</f>
        <v>832761726.06091404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45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SUM(D403:D1231)</f>
        <v>832679953.06091404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45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SUM(D404:D1232)</f>
        <v>832616372.06091404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45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SUM(D405:D1233)</f>
        <v>832573191.06091404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45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SUM(D406:D1234)</f>
        <v>832521541.06091404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45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SUM(D407:D1235)</f>
        <v>832461224.06091404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45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SUM(D408:D1236)</f>
        <v>832396167.06091404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45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SUM(D409:D1237)</f>
        <v>832329097.06091404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45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SUM(D410:D1238)</f>
        <v>832262582.06091404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45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SUM(D411:D1239)</f>
        <v>832209302.06091404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45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SUM(D412:D1240)</f>
        <v>832174566.06091404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45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SUM(D413:D1241)</f>
        <v>832127110.06091404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45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SUM(D414:D1242)</f>
        <v>832075064.06091404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45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SUM(D415:D1243)</f>
        <v>832018460.06091404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45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SUM(D416:D1244)</f>
        <v>831959191.06091404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45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SUM(D417:D1245)</f>
        <v>831899285.06091404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45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SUM(D418:D1246)</f>
        <v>831857251.06091404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45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SUM(D419:D1247)</f>
        <v>831826550.06091404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45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SUM(D420:D1248)</f>
        <v>831786096.06091404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45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SUM(D421:D1249)</f>
        <v>831743742.06091404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45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SUM(D422:D1250)</f>
        <v>831697613.06091404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45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SUM(D423:D1251)</f>
        <v>831649794.06091404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45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SUM(D424:D1252)</f>
        <v>831600303.06091404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45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SUM(D425:D1253)</f>
        <v>831564548.06091404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45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SUM(D426:D1254)</f>
        <v>831542348.06091404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45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SUM(D427:D1255)</f>
        <v>831512196.06091404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45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SUM(D428:D1256)</f>
        <v>831477292.06091404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45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SUM(D429:D1257)</f>
        <v>831441476.06091404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45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SUM(D430:D1258)</f>
        <v>831401651.06091404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45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SUM(D431:D1259)</f>
        <v>831362556.06091404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45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SUM(D432:D1260)</f>
        <v>831336914.06091404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45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SUM(D433:D1261)</f>
        <v>831319080.06091404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45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SUM(D434:D1262)</f>
        <v>831294050.06091404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45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SUM(D435:D1263)</f>
        <v>831266544.06091404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45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SUM(D436:D1264)</f>
        <v>831238003.06091404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45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SUM(D437:D1265)</f>
        <v>831207789.06091404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45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SUM(D438:D1266)</f>
        <v>831178775.06091404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45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SUM(D439:D1267)</f>
        <v>831159136.06091404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45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SUM(D440:D1268)</f>
        <v>831145595.06091404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45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SUM(D441:D1269)</f>
        <v>831125229.06091404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45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SUM(D442:D1270)</f>
        <v>831102491.06091404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45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SUM(D443:D1271)</f>
        <v>831078991.06091404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45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SUM(D444:D1272)</f>
        <v>831054598.06091404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45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SUM(D445:D1273)</f>
        <v>831031785.06091404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45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SUM(D446:D1274)</f>
        <v>831019124.06091404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45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SUM(D447:D1275)</f>
        <v>831011374.06091404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45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SUM(D448:D1276)</f>
        <v>831006139.06091404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45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SUM(D449:D1277)</f>
        <v>830993163.06091404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45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SUM(D450:D1278)</f>
        <v>830976189.06091404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45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SUM(D451:D1279)</f>
        <v>830958368.06091404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45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SUM(D452:D1280)</f>
        <v>830941443.06091404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45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SUM(D453:D1281)</f>
        <v>830929840.06091404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45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SUM(D454:D1282)</f>
        <v>830923432.06091404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45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SUM(D455:D1283)</f>
        <v>830911149.06091404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45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SUM(D456:D1284)</f>
        <v>830897607.06091404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45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SUM(D457:D1285)</f>
        <v>830883406.06091404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45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SUM(D458:D1286)</f>
        <v>830866642.06091404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45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SUM(D459:D1287)</f>
        <v>830850497.06091404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45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SUM(D460:D1288)</f>
        <v>830841070.06091404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45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SUM(D461:D1289)</f>
        <v>830835785.06091404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45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SUM(D462:D1290)</f>
        <v>830824264.06091404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45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SUM(D463:D1291)</f>
        <v>830811684.06091404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45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SUM(D464:D1292)</f>
        <v>830797621.06091404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45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SUM(D465:D1293)</f>
        <v>830783888.06091404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45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SUM(D466:D1294)</f>
        <v>830770499.06091404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45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SUM(D467:D1295)</f>
        <v>830762717.06091404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45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SUM(D468:D1296)</f>
        <v>830758295.06091404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45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SUM(D469:D1297)</f>
        <v>830748540.06091404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45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SUM(D470:D1298)</f>
        <v>830735666.06091404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45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SUM(D471:D1299)</f>
        <v>830722301.06091404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45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SUM(D472:D1300)</f>
        <v>830706841.06091404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45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SUM(D473:D1301)</f>
        <v>830691304.06091404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45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SUM(D474:D1302)</f>
        <v>830684718.06091404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45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SUM(D475:D1303)</f>
        <v>830677412.06091404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45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SUM(D476:D1304)</f>
        <v>830665430.06091404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45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SUM(D477:D1305)</f>
        <v>830654003.06091404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45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SUM(D478:D1306)</f>
        <v>830639806.06091404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45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SUM(D479:D1307)</f>
        <v>830622857.06091404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45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SUM(D480:D1308)</f>
        <v>830604458.06091404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45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SUM(D481:D1309)</f>
        <v>830596480.06091404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45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SUM(D482:D1310)</f>
        <v>830590731.06091404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45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SUM(D483:D1311)</f>
        <v>830585599.06091404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45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SUM(D484:D1312)</f>
        <v>830573987.06091404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45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SUM(D485:D1313)</f>
        <v>830557175.06091404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45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SUM(D486:D1314)</f>
        <v>830537828.06091404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45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SUM(D487:D1315)</f>
        <v>830510591.06091404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45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SUM(D488:D1316)</f>
        <v>830496056.06091404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45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SUM(D489:D1317)</f>
        <v>830489414.06091404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45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SUM(D490:D1318)</f>
        <v>830469418.06091404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45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SUM(D491:D1319)</f>
        <v>830429664.06091404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45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SUM(D492:D1320)</f>
        <v>830394217.06091404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45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SUM(D493:D1321)</f>
        <v>830357543.06091404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45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SUM(D494:D1322)</f>
        <v>830317014.06091404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45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SUM(D495:D1323)</f>
        <v>830292933.06091404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45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SUM(D496:D1324)</f>
        <v>830270655.06091404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45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SUM(D497:D1325)</f>
        <v>830238079.06091404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45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SUM(D498:D1326)</f>
        <v>830193847.06091404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45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SUM(D499:D1327)</f>
        <v>830137322.06091404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45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SUM(D500:D1328)</f>
        <v>830075671.06091404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45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SUM(D501:D1329)</f>
        <v>830008186.06091404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45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SUM(D502:D1330)</f>
        <v>829971407.06091404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45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SUM(D503:D1331)</f>
        <v>829957589.06091404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45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SUM(D504:D1332)</f>
        <v>829921773.06091404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45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SUM(D505:D1333)</f>
        <v>829860192.06091404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45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SUM(D506:D1334)</f>
        <v>829775658.06091404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45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SUM(D507:D1335)</f>
        <v>829691145.06091404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45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SUM(D508:D1336)</f>
        <v>829590047.06091404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45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SUM(D509:D1337)</f>
        <v>829538149.06091404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45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SUM(D510:D1338)</f>
        <v>829516381.06091404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45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SUM(D511:D1339)</f>
        <v>829460012.06091404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45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SUM(D512:D1340)</f>
        <v>829355254.06091404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45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SUM(D513:D1341)</f>
        <v>829242975.06091404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45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SUM(D514:D1342)</f>
        <v>829122030.06091404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45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SUM(D515:D1343)</f>
        <v>828991324.06091404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45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SUM(D516:D1344)</f>
        <v>828922374.06091404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45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SUM(D517:D1345)</f>
        <v>828897984.06091404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45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SUM(D518:D1346)</f>
        <v>828795609.06091404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45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SUM(D519:D1347)</f>
        <v>828694355.06091404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45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SUM(D520:D1348)</f>
        <v>828549720.06091404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45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SUM(D521:D1349)</f>
        <v>828406183.06091404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45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SUM(D522:D1350)</f>
        <v>828250886.06091404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45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SUM(D523:D1351)</f>
        <v>828179751.06091404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45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SUM(D524:D1352)</f>
        <v>828148868.06091404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45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SUM(D525:D1353)</f>
        <v>828045171.06091404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45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SUM(D526:D1354)</f>
        <v>827900877.06091404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45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SUM(D527:D1355)</f>
        <v>827742750.06091404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45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SUM(D528:D1356)</f>
        <v>827587833.06091404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45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SUM(D529:D1357)</f>
        <v>827436725.06091404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45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SUM(D530:D1358)</f>
        <v>827291642.06091404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45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SUM(D531:D1359)</f>
        <v>827192459.06091404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45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SUM(D532:D1360)</f>
        <v>827081325.06091404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45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SUM(D533:D1361)</f>
        <v>826933706.06091404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45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SUM(D534:D1362)</f>
        <v>826761969.06091404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45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SUM(D535:D1363)</f>
        <v>826584763.06091404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45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SUM(D536:D1364)</f>
        <v>826394393.06091404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45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SUM(D537:D1365)</f>
        <v>826321608.06091404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45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SUM(D538:D1366)</f>
        <v>826284346.06091404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45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SUM(D539:D1367)</f>
        <v>826164704.06091404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45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SUM(D540:D1368)</f>
        <v>826006038.06091404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45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SUM(D541:D1369)</f>
        <v>825821618.06091404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45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SUM(D542:D1370)</f>
        <v>825644050.06091404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45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SUM(D543:D1371)</f>
        <v>825461457.06091404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45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SUM(D544:D1372)</f>
        <v>825402775.06091404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45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SUM(D545:D1373)</f>
        <v>825367189.06091404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45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SUM(D546:D1374)</f>
        <v>825327545.06091404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45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SUM(D547:D1375)</f>
        <v>825211769.06091404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45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SUM(D548:D1376)</f>
        <v>825054010.06091404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45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SUM(D549:D1377)</f>
        <v>824893262.06091404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45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SUM(D550:D1378)</f>
        <v>824722137.06091404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45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SUM(D551:D1379)</f>
        <v>824650049.06091404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45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45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45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45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45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45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45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45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45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45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45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45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45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45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45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45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45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45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45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45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45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45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45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45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45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45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45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45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45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45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45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45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45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45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45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45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45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45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45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45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45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45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45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45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45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45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45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45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45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45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45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45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45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45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45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45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45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45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45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45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45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45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45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45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45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45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45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45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45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45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904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45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45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45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45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45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45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45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45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45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45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45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45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45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45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45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45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45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45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45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45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45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45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45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45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45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45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45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45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45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45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45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45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45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45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45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45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45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45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45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45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45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45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45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45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45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45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45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45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45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45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45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45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45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45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45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45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45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45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45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45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45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45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45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45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45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45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45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45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45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45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45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45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45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45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45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45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908" si="1544">+BW725+1</f>
        <v>717</v>
      </c>
      <c r="BZ726" s="1"/>
      <c r="CA726" s="61"/>
    </row>
    <row r="727" spans="2:79" x14ac:dyDescent="0.45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45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45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45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45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45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45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45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45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45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45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45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45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45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45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45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45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45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45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45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45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45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45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45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45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45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45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45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45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45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45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45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45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45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45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45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45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45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45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45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45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45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45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45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45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45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45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45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45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45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45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45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45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45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45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45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45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45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45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45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45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45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45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45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45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45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45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45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45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45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45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45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45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45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45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45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45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45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45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45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45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45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45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45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45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45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45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45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45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>
        <f>SUM(BA815:BA821)</f>
        <v>7094725</v>
      </c>
      <c r="BZ815" s="1"/>
      <c r="CA815" s="61"/>
    </row>
    <row r="816" spans="2:79" x14ac:dyDescent="0.45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45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45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45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45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45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45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45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45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45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45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45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45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45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45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45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45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77" x14ac:dyDescent="0.45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77" x14ac:dyDescent="0.45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77" x14ac:dyDescent="0.45">
      <c r="B835" s="158">
        <f t="shared" ref="B835:B913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77" x14ac:dyDescent="0.45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77" x14ac:dyDescent="0.45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77" x14ac:dyDescent="0.45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77" x14ac:dyDescent="0.45">
      <c r="B839" s="158">
        <f t="shared" si="3706"/>
        <v>44739</v>
      </c>
      <c r="C839" s="61"/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36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13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61">
        <f t="shared" ref="AR839" si="3798">+AL839/AP838</f>
        <v>1.0707387206191571E-3</v>
      </c>
      <c r="AS839" s="25"/>
      <c r="AT839" s="25"/>
      <c r="AU839" s="24"/>
      <c r="AV839" s="298">
        <f t="shared" ref="AV839" si="3799">+AP839/H839</f>
        <v>1.1078769382371174</v>
      </c>
      <c r="AW839" s="298"/>
      <c r="AX839" s="24">
        <f t="shared" ref="AX839" si="3800">+AP839/BW839</f>
        <v>101932.65903614459</v>
      </c>
      <c r="AY839" s="308"/>
      <c r="BA839" s="65">
        <f t="shared" ref="BA839" si="3801">+BC839-BC838</f>
        <v>802317</v>
      </c>
      <c r="BB839" s="66"/>
      <c r="BC839" s="66">
        <v>1049371874</v>
      </c>
      <c r="BD839" s="66"/>
      <c r="BE839" s="66">
        <f t="shared" ref="BE839" si="3802">+D839</f>
        <v>52403</v>
      </c>
      <c r="BF839" s="66"/>
      <c r="BG839" s="144">
        <f t="shared" ref="BG839" si="3803">+BE839/BA839</f>
        <v>6.5314582640028818E-2</v>
      </c>
      <c r="BH839" s="66"/>
      <c r="BI839" s="170"/>
      <c r="BJ839" s="66"/>
      <c r="BK839" s="66"/>
      <c r="BL839" s="66"/>
      <c r="BM839" s="144"/>
      <c r="BN839" s="65">
        <f t="shared" ref="BN839" si="3804">+BC839/BW839</f>
        <v>1264303.4626506025</v>
      </c>
      <c r="BO839" s="66"/>
      <c r="BP839" s="66">
        <f t="shared" ref="BP839" si="3805">+BP838+BE839</f>
        <v>75459001</v>
      </c>
      <c r="BQ839" s="66"/>
      <c r="BR839" s="435">
        <f t="shared" ref="BR839" si="3806">+BP839/BC839</f>
        <v>7.1908732137411946E-2</v>
      </c>
      <c r="BS839" s="66"/>
      <c r="BT839" s="75"/>
      <c r="BU839" s="170"/>
      <c r="BV839" s="1"/>
      <c r="BW839" s="61">
        <f t="shared" si="1544"/>
        <v>830</v>
      </c>
      <c r="BY839" s="59"/>
    </row>
    <row r="840" spans="2:77" x14ac:dyDescent="0.45">
      <c r="B840" s="158">
        <f t="shared" si="3706"/>
        <v>44740</v>
      </c>
      <c r="C840" s="61"/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36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13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61">
        <f t="shared" ref="AR840" si="3818">+AL840/AP839</f>
        <v>1.2350700658066162E-3</v>
      </c>
      <c r="AS840" s="25"/>
      <c r="AT840" s="25"/>
      <c r="AU840" s="24"/>
      <c r="AV840" s="298">
        <f t="shared" ref="AV840" si="3819">+AP840/H840</f>
        <v>1.1081069258325398</v>
      </c>
      <c r="AW840" s="298"/>
      <c r="AX840" s="24">
        <f t="shared" ref="AX840" si="3820">+AP840/BW840</f>
        <v>101935.73886883273</v>
      </c>
      <c r="AY840" s="308"/>
      <c r="BA840" s="65">
        <f t="shared" ref="BA840" si="3821">+BC840-BC839</f>
        <v>577655</v>
      </c>
      <c r="BB840" s="66"/>
      <c r="BC840" s="66">
        <v>1049949529</v>
      </c>
      <c r="BD840" s="66"/>
      <c r="BE840" s="66">
        <f t="shared" ref="BE840" si="3822">+D840</f>
        <v>78448</v>
      </c>
      <c r="BF840" s="66"/>
      <c r="BG840" s="144">
        <f t="shared" ref="BG840" si="3823">+BE840/BA840</f>
        <v>0.13580424301702573</v>
      </c>
      <c r="BH840" s="66"/>
      <c r="BI840" s="170"/>
      <c r="BJ840" s="66"/>
      <c r="BK840" s="66"/>
      <c r="BL840" s="66"/>
      <c r="BM840" s="144"/>
      <c r="BN840" s="65">
        <f t="shared" ref="BN840" si="3824">+BC840/BW840</f>
        <v>1263477.1708784597</v>
      </c>
      <c r="BO840" s="66"/>
      <c r="BP840" s="66">
        <f t="shared" ref="BP840" si="3825">+BP839+BE840</f>
        <v>75537449</v>
      </c>
      <c r="BQ840" s="66"/>
      <c r="BR840" s="435">
        <f t="shared" ref="BR840" si="3826">+BP840/BC840</f>
        <v>7.1943885790342596E-2</v>
      </c>
      <c r="BS840" s="66"/>
      <c r="BT840" s="75"/>
      <c r="BU840" s="170"/>
      <c r="BV840" s="1"/>
      <c r="BW840" s="61">
        <f t="shared" si="1544"/>
        <v>831</v>
      </c>
      <c r="BY840" s="59"/>
    </row>
    <row r="841" spans="2:77" x14ac:dyDescent="0.45">
      <c r="B841" s="158">
        <f t="shared" si="3706"/>
        <v>44741</v>
      </c>
      <c r="C841" s="61"/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36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13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61">
        <f t="shared" ref="AR841" si="3838">+AL841/AP840</f>
        <v>1.2035968154779659E-3</v>
      </c>
      <c r="AS841" s="25"/>
      <c r="AT841" s="25"/>
      <c r="AU841" s="24"/>
      <c r="AV841" s="298">
        <f t="shared" ref="AV841" si="3839">+AP841/H841</f>
        <v>1.1079875122353369</v>
      </c>
      <c r="AW841" s="298"/>
      <c r="AX841" s="24">
        <f t="shared" ref="AX841" si="3840">+AP841/BW841</f>
        <v>101935.76201923077</v>
      </c>
      <c r="AY841" s="308"/>
      <c r="BA841" s="65">
        <f t="shared" ref="BA841" si="3841">+BC841-BC840</f>
        <v>958071</v>
      </c>
      <c r="BB841" s="66"/>
      <c r="BC841" s="66">
        <v>1050907600</v>
      </c>
      <c r="BD841" s="66"/>
      <c r="BE841" s="66">
        <f t="shared" ref="BE841" si="3842">+D841</f>
        <v>100257</v>
      </c>
      <c r="BF841" s="66"/>
      <c r="BG841" s="144">
        <f t="shared" ref="BG841" si="3843">+BE841/BA841</f>
        <v>0.10464464533421844</v>
      </c>
      <c r="BH841" s="66"/>
      <c r="BI841" s="170"/>
      <c r="BJ841" s="66"/>
      <c r="BK841" s="66"/>
      <c r="BL841" s="66"/>
      <c r="BM841" s="144"/>
      <c r="BN841" s="65">
        <f t="shared" ref="BN841" si="3844">+BC841/BW841</f>
        <v>1263110.0961538462</v>
      </c>
      <c r="BO841" s="66"/>
      <c r="BP841" s="66">
        <f t="shared" ref="BP841" si="3845">+BP840+BE841</f>
        <v>75637706</v>
      </c>
      <c r="BQ841" s="66"/>
      <c r="BR841" s="435">
        <f t="shared" ref="BR841" si="3846">+BP841/BC841</f>
        <v>7.1973697782754642E-2</v>
      </c>
      <c r="BS841" s="66"/>
      <c r="BT841" s="75"/>
      <c r="BU841" s="170"/>
      <c r="BV841" s="1"/>
      <c r="BW841" s="61">
        <f t="shared" si="1544"/>
        <v>832</v>
      </c>
      <c r="BY841" s="59"/>
    </row>
    <row r="842" spans="2:77" x14ac:dyDescent="0.45">
      <c r="B842" s="158">
        <f t="shared" si="3706"/>
        <v>44742</v>
      </c>
      <c r="C842" s="61"/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36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13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61">
        <f t="shared" ref="AR842" si="3858">+AL842/AP841</f>
        <v>1.2479225168131787E-3</v>
      </c>
      <c r="AS842" s="25"/>
      <c r="AT842" s="25"/>
      <c r="AU842" s="24"/>
      <c r="AV842" s="298">
        <f t="shared" ref="AV842" si="3859">+AP842/H842</f>
        <v>1.1081255335658078</v>
      </c>
      <c r="AW842" s="298"/>
      <c r="AX842" s="24">
        <f t="shared" ref="AX842" si="3860">+AP842/BW842</f>
        <v>101940.44537815126</v>
      </c>
      <c r="AY842" s="308"/>
      <c r="BA842" s="65">
        <f t="shared" ref="BA842" si="3861">+BC842-BC841</f>
        <v>448878</v>
      </c>
      <c r="BB842" s="66"/>
      <c r="BC842" s="66">
        <v>1051356478</v>
      </c>
      <c r="BD842" s="66"/>
      <c r="BE842" s="66">
        <f t="shared" ref="BE842" si="3862">+D842</f>
        <v>85976</v>
      </c>
      <c r="BF842" s="66"/>
      <c r="BG842" s="144">
        <f t="shared" ref="BG842" si="3863">+BE842/BA842</f>
        <v>0.19153533922357521</v>
      </c>
      <c r="BH842" s="66"/>
      <c r="BI842" s="170"/>
      <c r="BJ842" s="66"/>
      <c r="BK842" s="66"/>
      <c r="BL842" s="66"/>
      <c r="BM842" s="144"/>
      <c r="BN842" s="65">
        <f t="shared" ref="BN842" si="3864">+BC842/BW842</f>
        <v>1262132.6266506603</v>
      </c>
      <c r="BO842" s="66"/>
      <c r="BP842" s="66">
        <f t="shared" ref="BP842" si="3865">+BP841+BE842</f>
        <v>75723682</v>
      </c>
      <c r="BQ842" s="66"/>
      <c r="BR842" s="435">
        <f t="shared" ref="BR842" si="3866">+BP842/BC842</f>
        <v>7.2024744779286942E-2</v>
      </c>
      <c r="BS842" s="66"/>
      <c r="BT842" s="75"/>
      <c r="BU842" s="170"/>
      <c r="BV842" s="1"/>
      <c r="BW842" s="61">
        <f t="shared" si="1544"/>
        <v>833</v>
      </c>
      <c r="BY842" s="59"/>
    </row>
    <row r="843" spans="2:77" x14ac:dyDescent="0.45">
      <c r="B843" s="158">
        <f t="shared" si="3706"/>
        <v>44743</v>
      </c>
      <c r="C843" s="61"/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36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13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61">
        <f t="shared" ref="AR843" si="3878">+AL843/AP842</f>
        <v>9.5095892617480646E-4</v>
      </c>
      <c r="AS843" s="25"/>
      <c r="AT843" s="25"/>
      <c r="AU843" s="24"/>
      <c r="AV843" s="298">
        <f t="shared" ref="AV843" si="3879">+AP843/H843</f>
        <v>1.1076935184771053</v>
      </c>
      <c r="AW843" s="298"/>
      <c r="AX843" s="24">
        <f t="shared" ref="AX843" si="3880">+AP843/BW843</f>
        <v>101915.03956834532</v>
      </c>
      <c r="AY843" s="308"/>
      <c r="BA843" s="65">
        <f t="shared" ref="BA843" si="3881">+BC843-BC842</f>
        <v>1443338</v>
      </c>
      <c r="BB843" s="66"/>
      <c r="BC843" s="66">
        <v>1052799816</v>
      </c>
      <c r="BD843" s="66"/>
      <c r="BE843" s="66">
        <f t="shared" ref="BE843" si="3882">+D843</f>
        <v>102788</v>
      </c>
      <c r="BF843" s="66"/>
      <c r="BG843" s="144">
        <f t="shared" ref="BG843" si="3883">+BE843/BA843</f>
        <v>7.1215474130106732E-2</v>
      </c>
      <c r="BH843" s="66"/>
      <c r="BI843" s="170"/>
      <c r="BJ843" s="66"/>
      <c r="BK843" s="66"/>
      <c r="BL843" s="66"/>
      <c r="BM843" s="144"/>
      <c r="BN843" s="65">
        <f t="shared" ref="BN843" si="3884">+BC843/BW843</f>
        <v>1262349.8992805756</v>
      </c>
      <c r="BO843" s="66"/>
      <c r="BP843" s="66">
        <f t="shared" ref="BP843" si="3885">+BP842+BE843</f>
        <v>75826470</v>
      </c>
      <c r="BQ843" s="66"/>
      <c r="BR843" s="435">
        <f t="shared" ref="BR843" si="3886">+BP843/BC843</f>
        <v>7.202363530808216E-2</v>
      </c>
      <c r="BS843" s="66"/>
      <c r="BT843" s="75"/>
      <c r="BU843" s="170"/>
      <c r="BV843" s="1"/>
      <c r="BW843" s="61">
        <f t="shared" si="1544"/>
        <v>834</v>
      </c>
      <c r="BY843" s="59"/>
    </row>
    <row r="844" spans="2:77" x14ac:dyDescent="0.45">
      <c r="B844" s="158">
        <f t="shared" si="3706"/>
        <v>44744</v>
      </c>
      <c r="C844" s="61"/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36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13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61">
        <f t="shared" ref="AR844" si="3898">+AL844/AP843</f>
        <v>1.5527580732919459E-4</v>
      </c>
      <c r="AS844" s="25"/>
      <c r="AT844" s="25"/>
      <c r="AU844" s="24"/>
      <c r="AV844" s="298">
        <f t="shared" ref="AV844" si="3899">+AP844/H844</f>
        <v>1.1076454552783068</v>
      </c>
      <c r="AW844" s="298"/>
      <c r="AX844" s="24">
        <f t="shared" ref="AX844" si="3900">+AP844/BW844</f>
        <v>101808.79161676647</v>
      </c>
      <c r="AY844" s="308"/>
      <c r="BA844" s="65">
        <f t="shared" ref="BA844" si="3901">+BC844-BC843</f>
        <v>74933</v>
      </c>
      <c r="BB844" s="66"/>
      <c r="BC844" s="66">
        <v>1052874749</v>
      </c>
      <c r="BD844" s="66"/>
      <c r="BE844" s="66">
        <f t="shared" ref="BE844" si="3902">+D844</f>
        <v>15245</v>
      </c>
      <c r="BF844" s="66"/>
      <c r="BG844" s="144">
        <f t="shared" ref="BG844" si="3903">+BE844/BA844</f>
        <v>0.20344841391643201</v>
      </c>
      <c r="BH844" s="66"/>
      <c r="BI844" s="170"/>
      <c r="BJ844" s="66"/>
      <c r="BK844" s="66"/>
      <c r="BL844" s="66"/>
      <c r="BM844" s="144"/>
      <c r="BN844" s="65">
        <f t="shared" ref="BN844" si="3904">+BC844/BW844</f>
        <v>1260927.8431137726</v>
      </c>
      <c r="BO844" s="66"/>
      <c r="BP844" s="66">
        <f t="shared" ref="BP844" si="3905">+BP843+BE844</f>
        <v>75841715</v>
      </c>
      <c r="BQ844" s="66"/>
      <c r="BR844" s="435">
        <f t="shared" ref="BR844" si="3906">+BP844/BC844</f>
        <v>7.2032988797606737E-2</v>
      </c>
      <c r="BS844" s="66"/>
      <c r="BT844" s="75"/>
      <c r="BU844" s="170"/>
      <c r="BV844" s="1"/>
      <c r="BW844" s="61">
        <f t="shared" si="1544"/>
        <v>835</v>
      </c>
      <c r="BY844" s="59"/>
    </row>
    <row r="845" spans="2:77" x14ac:dyDescent="0.45">
      <c r="B845" s="347">
        <f t="shared" si="3706"/>
        <v>44745</v>
      </c>
      <c r="C845" s="61"/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36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13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61">
        <f t="shared" ref="AR845" si="3918">+AL845/AP844</f>
        <v>1.9116615471522459E-3</v>
      </c>
      <c r="AS845" s="25"/>
      <c r="AT845" s="25"/>
      <c r="AU845" s="24"/>
      <c r="AV845" s="298">
        <f t="shared" ref="AV845" si="3919">+AP845/H845</f>
        <v>1.1096169615082636</v>
      </c>
      <c r="AW845" s="298"/>
      <c r="AX845" s="24">
        <f t="shared" ref="AX845" si="3920">+AP845/BW845</f>
        <v>101881.4019138756</v>
      </c>
      <c r="AY845" s="308"/>
      <c r="BA845" s="65">
        <f t="shared" ref="BA845" si="3921">+BC845-BC844</f>
        <v>69254</v>
      </c>
      <c r="BB845" s="66"/>
      <c r="BC845" s="66">
        <v>1052944003</v>
      </c>
      <c r="BD845" s="66"/>
      <c r="BE845" s="66">
        <f t="shared" ref="BE845" si="3922">+D845</f>
        <v>10094</v>
      </c>
      <c r="BF845" s="66"/>
      <c r="BG845" s="144">
        <f t="shared" ref="BG845" si="3923">+BE845/BA845</f>
        <v>0.14575331388800647</v>
      </c>
      <c r="BH845" s="66"/>
      <c r="BI845" s="170"/>
      <c r="BJ845" s="66"/>
      <c r="BK845" s="66"/>
      <c r="BL845" s="66"/>
      <c r="BM845" s="144"/>
      <c r="BN845" s="65">
        <f t="shared" ref="BN845" si="3924">+BC845/BW845</f>
        <v>1259502.3959330143</v>
      </c>
      <c r="BO845" s="66"/>
      <c r="BP845" s="66">
        <f t="shared" ref="BP845" si="3925">+BP844+BE845</f>
        <v>75851809</v>
      </c>
      <c r="BQ845" s="66"/>
      <c r="BR845" s="435">
        <f t="shared" ref="BR845" si="3926">+BP845/BC845</f>
        <v>7.2037837514517852E-2</v>
      </c>
      <c r="BS845" s="66"/>
      <c r="BT845" s="75"/>
      <c r="BU845" s="170"/>
      <c r="BV845" s="1"/>
      <c r="BW845" s="61">
        <f t="shared" si="1544"/>
        <v>836</v>
      </c>
      <c r="BY845" s="59"/>
    </row>
    <row r="846" spans="2:77" x14ac:dyDescent="0.45">
      <c r="B846" s="158">
        <f t="shared" si="3706"/>
        <v>44746</v>
      </c>
      <c r="C846" s="61"/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36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13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61">
        <f t="shared" ref="AR846" si="3938">+AL846/AP845</f>
        <v>1.329637288651553E-3</v>
      </c>
      <c r="AS846" s="25"/>
      <c r="AT846" s="25"/>
      <c r="AU846" s="24"/>
      <c r="AV846" s="298">
        <f t="shared" ref="AV846" si="3939">+AP846/H846</f>
        <v>1.1108996179132984</v>
      </c>
      <c r="AW846" s="298"/>
      <c r="AX846" s="24">
        <f t="shared" ref="AX846" si="3940">+AP846/BW846</f>
        <v>101894.98327359618</v>
      </c>
      <c r="AY846" s="308"/>
      <c r="BA846" s="65">
        <f t="shared" ref="BA846" si="3941">+BC846-BC845</f>
        <v>43799</v>
      </c>
      <c r="BB846" s="66"/>
      <c r="BC846" s="66">
        <v>1052987802</v>
      </c>
      <c r="BD846" s="66"/>
      <c r="BE846" s="66">
        <f t="shared" ref="BE846" si="3942">+D846</f>
        <v>13317</v>
      </c>
      <c r="BF846" s="66"/>
      <c r="BG846" s="144">
        <f t="shared" ref="BG846" si="3943">+BE846/BA846</f>
        <v>0.30404803762642985</v>
      </c>
      <c r="BH846" s="66"/>
      <c r="BI846" s="170"/>
      <c r="BJ846" s="66"/>
      <c r="BK846" s="66"/>
      <c r="BL846" s="66"/>
      <c r="BM846" s="144"/>
      <c r="BN846" s="65">
        <f t="shared" ref="BN846" si="3944">+BC846/BW846</f>
        <v>1258049.9426523298</v>
      </c>
      <c r="BO846" s="66"/>
      <c r="BP846" s="66">
        <f t="shared" ref="BP846" si="3945">+BP845+BE846</f>
        <v>75865126</v>
      </c>
      <c r="BQ846" s="66"/>
      <c r="BR846" s="435">
        <f t="shared" ref="BR846" si="3946">+BP846/BC846</f>
        <v>7.2047487972704924E-2</v>
      </c>
      <c r="BS846" s="66"/>
      <c r="BT846" s="75"/>
      <c r="BU846" s="170"/>
      <c r="BV846" s="1"/>
      <c r="BW846" s="61">
        <f t="shared" si="1544"/>
        <v>837</v>
      </c>
      <c r="BY846" s="59"/>
    </row>
    <row r="847" spans="2:77" x14ac:dyDescent="0.45">
      <c r="B847" s="158">
        <f t="shared" si="3706"/>
        <v>44747</v>
      </c>
      <c r="C847" s="61"/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36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13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61">
        <f t="shared" ref="AR847" si="3958">+AL847/AP846</f>
        <v>1.2167164260446141E-3</v>
      </c>
      <c r="AS847" s="25"/>
      <c r="AT847" s="25"/>
      <c r="AU847" s="24"/>
      <c r="AV847" s="298">
        <f t="shared" ref="AV847" si="3959">+AP847/H847</f>
        <v>1.1115897907449537</v>
      </c>
      <c r="AW847" s="298"/>
      <c r="AX847" s="24">
        <f t="shared" ref="AX847" si="3960">+AP847/BW847</f>
        <v>101897.21957040572</v>
      </c>
      <c r="AY847" s="308"/>
      <c r="BA847" s="65">
        <f t="shared" ref="BA847" si="3961">+BC847-BC846</f>
        <v>1112444</v>
      </c>
      <c r="BB847" s="66"/>
      <c r="BC847" s="66">
        <v>1054100246</v>
      </c>
      <c r="BD847" s="66"/>
      <c r="BE847" s="66">
        <f t="shared" ref="BE847" si="3962">+D847</f>
        <v>45685</v>
      </c>
      <c r="BF847" s="66"/>
      <c r="BG847" s="144">
        <f t="shared" ref="BG847" si="3963">+BE847/BA847</f>
        <v>4.1067235744001493E-2</v>
      </c>
      <c r="BH847" s="66"/>
      <c r="BI847" s="170"/>
      <c r="BJ847" s="66"/>
      <c r="BK847" s="66"/>
      <c r="BL847" s="66"/>
      <c r="BM847" s="144"/>
      <c r="BN847" s="65">
        <f t="shared" ref="BN847" si="3964">+BC847/BW847</f>
        <v>1257876.1885441528</v>
      </c>
      <c r="BO847" s="66"/>
      <c r="BP847" s="66">
        <f t="shared" ref="BP847" si="3965">+BP846+BE847</f>
        <v>75910811</v>
      </c>
      <c r="BQ847" s="66"/>
      <c r="BR847" s="435">
        <f t="shared" ref="BR847" si="3966">+BP847/BC847</f>
        <v>7.2014792983930292E-2</v>
      </c>
      <c r="BS847" s="66"/>
      <c r="BT847" s="75"/>
      <c r="BU847" s="170"/>
      <c r="BV847" s="1"/>
      <c r="BW847" s="61">
        <f t="shared" si="1544"/>
        <v>838</v>
      </c>
      <c r="BY847" s="59"/>
    </row>
    <row r="848" spans="2:77" x14ac:dyDescent="0.45">
      <c r="B848" s="158">
        <f t="shared" si="3706"/>
        <v>44748</v>
      </c>
      <c r="C848" s="61"/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36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13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61">
        <f t="shared" ref="AR848" si="3978">+AL848/AP847</f>
        <v>1.6148519724880715E-3</v>
      </c>
      <c r="AS848" s="25"/>
      <c r="AT848" s="25"/>
      <c r="AU848" s="24"/>
      <c r="AV848" s="298">
        <f t="shared" ref="AV848" si="3979">+AP848/H848</f>
        <v>1.1119380378058685</v>
      </c>
      <c r="AW848" s="298"/>
      <c r="AX848" s="24">
        <f t="shared" ref="AX848" si="3980">+AP848/BW848</f>
        <v>101940.12157330156</v>
      </c>
      <c r="AY848" s="308"/>
      <c r="BA848" s="65">
        <f t="shared" ref="BA848" si="3981">+BC848-BC847</f>
        <v>865796</v>
      </c>
      <c r="BB848" s="66"/>
      <c r="BC848" s="66">
        <v>1054966042</v>
      </c>
      <c r="BD848" s="66"/>
      <c r="BE848" s="66">
        <f t="shared" ref="BE848" si="3982">+D848</f>
        <v>99952</v>
      </c>
      <c r="BF848" s="66"/>
      <c r="BG848" s="144">
        <f t="shared" ref="BG848" si="3983">+BE848/BA848</f>
        <v>0.11544520880207347</v>
      </c>
      <c r="BH848" s="66"/>
      <c r="BI848" s="170"/>
      <c r="BJ848" s="66"/>
      <c r="BK848" s="66"/>
      <c r="BL848" s="66"/>
      <c r="BM848" s="144"/>
      <c r="BN848" s="65">
        <f t="shared" ref="BN848" si="3984">+BC848/BW848</f>
        <v>1257408.8700834326</v>
      </c>
      <c r="BO848" s="66"/>
      <c r="BP848" s="66">
        <f t="shared" ref="BP848" si="3985">+BP847+BE848</f>
        <v>76010763</v>
      </c>
      <c r="BQ848" s="66"/>
      <c r="BR848" s="435">
        <f t="shared" ref="BR848" si="3986">+BP848/BC848</f>
        <v>7.2050435723882755E-2</v>
      </c>
      <c r="BS848" s="66"/>
      <c r="BT848" s="75"/>
      <c r="BU848" s="170"/>
      <c r="BV848" s="1"/>
      <c r="BW848" s="61">
        <f t="shared" si="1544"/>
        <v>839</v>
      </c>
      <c r="BY848" s="59"/>
    </row>
    <row r="849" spans="2:77" x14ac:dyDescent="0.45">
      <c r="B849" s="158">
        <f t="shared" si="3706"/>
        <v>44749</v>
      </c>
      <c r="C849" s="61"/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36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13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61">
        <f t="shared" ref="AR849" si="3998">+AL849/AP848</f>
        <v>1.1296916666660821E-3</v>
      </c>
      <c r="AS849" s="25"/>
      <c r="AT849" s="25"/>
      <c r="AU849" s="24"/>
      <c r="AV849" s="298">
        <f t="shared" ref="AV849" si="3999">+AP849/H849</f>
        <v>1.1118719262849759</v>
      </c>
      <c r="AW849" s="298"/>
      <c r="AX849" s="24">
        <f t="shared" ref="AX849" si="4000">+AP849/BW849</f>
        <v>101933.78809523809</v>
      </c>
      <c r="AY849" s="308"/>
      <c r="BA849" s="65">
        <f t="shared" ref="BA849" si="4001">+BC849-BC848</f>
        <v>349859</v>
      </c>
      <c r="BB849" s="66"/>
      <c r="BC849" s="66">
        <v>1055315901</v>
      </c>
      <c r="BD849" s="66"/>
      <c r="BE849" s="66">
        <f t="shared" ref="BE849" si="4002">+D849</f>
        <v>91472</v>
      </c>
      <c r="BF849" s="66"/>
      <c r="BG849" s="144">
        <f t="shared" ref="BG849" si="4003">+BE849/BA849</f>
        <v>0.26145389999971419</v>
      </c>
      <c r="BH849" s="66"/>
      <c r="BI849" s="170"/>
      <c r="BJ849" s="66"/>
      <c r="BK849" s="66"/>
      <c r="BL849" s="66"/>
      <c r="BM849" s="144"/>
      <c r="BN849" s="65">
        <f t="shared" ref="BN849" si="4004">+BC849/BW849</f>
        <v>1256328.4535714285</v>
      </c>
      <c r="BO849" s="66"/>
      <c r="BP849" s="66">
        <f t="shared" ref="BP849" si="4005">+BP848+BE849</f>
        <v>76102235</v>
      </c>
      <c r="BQ849" s="66"/>
      <c r="BR849" s="435">
        <f t="shared" ref="BR849" si="4006">+BP849/BC849</f>
        <v>7.211322688105691E-2</v>
      </c>
      <c r="BS849" s="66"/>
      <c r="BT849" s="75"/>
      <c r="BU849" s="170"/>
      <c r="BV849" s="1"/>
      <c r="BW849" s="61">
        <f t="shared" si="1544"/>
        <v>840</v>
      </c>
      <c r="BY849" s="59"/>
    </row>
    <row r="850" spans="2:77" x14ac:dyDescent="0.45">
      <c r="B850" s="158">
        <f t="shared" si="3706"/>
        <v>44750</v>
      </c>
      <c r="C850" s="61"/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36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13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61">
        <f t="shared" ref="AR850" si="4018">+AL850/AP849</f>
        <v>1.0701741473591016E-3</v>
      </c>
      <c r="AS850" s="25"/>
      <c r="AT850" s="25"/>
      <c r="AU850" s="24"/>
      <c r="AV850" s="298">
        <f t="shared" ref="AV850" si="4019">+AP850/H850</f>
        <v>1.1115033496422781</v>
      </c>
      <c r="AW850" s="298"/>
      <c r="AX850" s="24">
        <f t="shared" ref="AX850" si="4020">+AP850/BW850</f>
        <v>101921.53983353151</v>
      </c>
      <c r="AY850" s="308"/>
      <c r="BA850" s="65">
        <f t="shared" ref="BA850" si="4021">+BC850-BC849</f>
        <v>1478632</v>
      </c>
      <c r="BB850" s="66"/>
      <c r="BC850" s="66">
        <v>1056794533</v>
      </c>
      <c r="BD850" s="66"/>
      <c r="BE850" s="66">
        <f t="shared" ref="BE850" si="4022">+D850</f>
        <v>107977</v>
      </c>
      <c r="BF850" s="66"/>
      <c r="BG850" s="144">
        <f t="shared" ref="BG850" si="4023">+BE850/BA850</f>
        <v>7.3024931152578867E-2</v>
      </c>
      <c r="BH850" s="66"/>
      <c r="BI850" s="170"/>
      <c r="BJ850" s="66"/>
      <c r="BK850" s="66"/>
      <c r="BL850" s="66"/>
      <c r="BM850" s="144"/>
      <c r="BN850" s="65">
        <f t="shared" ref="BN850" si="4024">+BC850/BW850</f>
        <v>1256592.7859690844</v>
      </c>
      <c r="BO850" s="66"/>
      <c r="BP850" s="66">
        <f t="shared" ref="BP850" si="4025">+BP849+BE850</f>
        <v>76210212</v>
      </c>
      <c r="BQ850" s="66"/>
      <c r="BR850" s="435">
        <f t="shared" ref="BR850" si="4026">+BP850/BC850</f>
        <v>7.2114502507556022E-2</v>
      </c>
      <c r="BS850" s="66"/>
      <c r="BT850" s="75"/>
      <c r="BU850" s="170"/>
      <c r="BV850" s="1"/>
      <c r="BW850" s="61">
        <f t="shared" si="1544"/>
        <v>841</v>
      </c>
      <c r="BY850" s="59"/>
    </row>
    <row r="851" spans="2:77" x14ac:dyDescent="0.45">
      <c r="B851" s="158">
        <f t="shared" si="3706"/>
        <v>44751</v>
      </c>
      <c r="C851" s="61"/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36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13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61">
        <f t="shared" ref="AR851" si="4038">+AL851/AP850</f>
        <v>5.9144140100306805E-4</v>
      </c>
      <c r="AS851" s="25"/>
      <c r="AT851" s="25"/>
      <c r="AU851" s="24"/>
      <c r="AV851" s="298">
        <f t="shared" ref="AV851" si="4039">+AP851/H851</f>
        <v>1.1117122030317088</v>
      </c>
      <c r="AW851" s="298"/>
      <c r="AX851" s="24">
        <f t="shared" ref="AX851" si="4040">+AP851/BW851</f>
        <v>101860.70190023753</v>
      </c>
      <c r="AY851" s="308"/>
      <c r="BA851" s="65">
        <f t="shared" ref="BA851" si="4041">+BC851-BC850</f>
        <v>164547</v>
      </c>
      <c r="BB851" s="66"/>
      <c r="BC851" s="66">
        <v>1056959080</v>
      </c>
      <c r="BD851" s="66"/>
      <c r="BE851" s="66">
        <f t="shared" ref="BE851" si="4042">+D851</f>
        <v>31114</v>
      </c>
      <c r="BF851" s="66"/>
      <c r="BG851" s="144">
        <f t="shared" ref="BG851" si="4043">+BE851/BA851</f>
        <v>0.18908883176235361</v>
      </c>
      <c r="BH851" s="66"/>
      <c r="BI851" s="170"/>
      <c r="BJ851" s="66"/>
      <c r="BK851" s="66"/>
      <c r="BL851" s="66"/>
      <c r="BM851" s="144"/>
      <c r="BN851" s="65">
        <f t="shared" ref="BN851" si="4044">+BC851/BW851</f>
        <v>1255295.8194774347</v>
      </c>
      <c r="BO851" s="66"/>
      <c r="BP851" s="66">
        <f t="shared" ref="BP851" si="4045">+BP850+BE851</f>
        <v>76241326</v>
      </c>
      <c r="BQ851" s="66"/>
      <c r="BR851" s="435">
        <f t="shared" ref="BR851" si="4046">+BP851/BC851</f>
        <v>7.2132713028019962E-2</v>
      </c>
      <c r="BS851" s="66"/>
      <c r="BT851" s="75"/>
      <c r="BU851" s="170"/>
      <c r="BV851" s="1"/>
      <c r="BW851" s="61">
        <f t="shared" si="1544"/>
        <v>842</v>
      </c>
      <c r="BY851" s="59"/>
    </row>
    <row r="852" spans="2:77" x14ac:dyDescent="0.45">
      <c r="B852" s="347">
        <f t="shared" si="3706"/>
        <v>44752</v>
      </c>
      <c r="C852" s="61"/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36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13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61">
        <f t="shared" ref="AR852" si="4058">+AL852/AP851</f>
        <v>2.6638540447237156E-4</v>
      </c>
      <c r="AS852" s="25"/>
      <c r="AT852" s="25"/>
      <c r="AU852" s="24"/>
      <c r="AV852" s="298">
        <f t="shared" ref="AV852" si="4059">+AP852/H852</f>
        <v>1.1116633994945566</v>
      </c>
      <c r="AW852" s="298"/>
      <c r="AX852" s="24">
        <f t="shared" ref="AX852" si="4060">+AP852/BW852</f>
        <v>101766.97271648873</v>
      </c>
      <c r="AY852" s="308"/>
      <c r="BA852" s="65">
        <f t="shared" ref="BA852" si="4061">+BC852-BC851</f>
        <v>150891</v>
      </c>
      <c r="BB852" s="66"/>
      <c r="BC852" s="66">
        <v>1057109971</v>
      </c>
      <c r="BD852" s="66"/>
      <c r="BE852" s="66">
        <f t="shared" ref="BE852" si="4062">+D852</f>
        <v>23939</v>
      </c>
      <c r="BF852" s="66"/>
      <c r="BG852" s="144">
        <f t="shared" ref="BG852" si="4063">+BE852/BA852</f>
        <v>0.15865094670987667</v>
      </c>
      <c r="BH852" s="66"/>
      <c r="BI852" s="170"/>
      <c r="BJ852" s="66"/>
      <c r="BK852" s="66"/>
      <c r="BL852" s="66"/>
      <c r="BM852" s="144"/>
      <c r="BN852" s="65">
        <f t="shared" ref="BN852" si="4064">+BC852/BW852</f>
        <v>1253985.7307236062</v>
      </c>
      <c r="BO852" s="66"/>
      <c r="BP852" s="66">
        <f t="shared" ref="BP852" si="4065">+BP851+BE852</f>
        <v>76265265</v>
      </c>
      <c r="BQ852" s="66"/>
      <c r="BR852" s="435">
        <f t="shared" ref="BR852" si="4066">+BP852/BC852</f>
        <v>7.2145062568897106E-2</v>
      </c>
      <c r="BS852" s="66"/>
      <c r="BT852" s="75"/>
      <c r="BU852" s="170"/>
      <c r="BV852" s="1"/>
      <c r="BW852" s="61">
        <f t="shared" si="1544"/>
        <v>843</v>
      </c>
      <c r="BY852" s="59"/>
    </row>
    <row r="853" spans="2:77" x14ac:dyDescent="0.45">
      <c r="B853" s="158">
        <f t="shared" si="3706"/>
        <v>44753</v>
      </c>
      <c r="C853" s="61"/>
      <c r="D853" s="17">
        <v>57970</v>
      </c>
      <c r="E853" s="16"/>
      <c r="F853" s="16"/>
      <c r="G853" s="16"/>
      <c r="H853" s="16">
        <f t="shared" ref="H853" si="4067">+H852+D853</f>
        <v>77230213</v>
      </c>
      <c r="I853" s="16"/>
      <c r="J853" s="436">
        <f t="shared" ref="J853" si="4068">+D853/H852</f>
        <v>7.5117681884664153E-4</v>
      </c>
      <c r="K853" s="16"/>
      <c r="L853" s="16"/>
      <c r="M853" s="16"/>
      <c r="N853" s="16">
        <f t="shared" ref="N853" si="4069">SUM(D847:D853)</f>
        <v>458109</v>
      </c>
      <c r="O853" s="16">
        <f t="shared" ref="O853" si="4070">+H853/BW853</f>
        <v>91504.991706161134</v>
      </c>
      <c r="P853" s="41"/>
      <c r="Q853" s="17">
        <f t="shared" ref="Q853" si="4071">SUM(D847:D853)</f>
        <v>458109</v>
      </c>
      <c r="R853" s="16"/>
      <c r="S853" s="60">
        <f t="shared" ref="S853" si="4072">+(Q853-Q846)/Q846</f>
        <v>0.128</v>
      </c>
      <c r="T853" s="16"/>
      <c r="U853" s="41"/>
      <c r="V853" s="10">
        <f t="shared" si="558"/>
        <v>745</v>
      </c>
      <c r="W853" s="34">
        <v>122</v>
      </c>
      <c r="X853" s="33">
        <v>4256</v>
      </c>
      <c r="Y853" s="33"/>
      <c r="Z853" s="33">
        <f t="shared" ref="Z853" si="4073">SUM(W848:W853)</f>
        <v>1144</v>
      </c>
      <c r="AA853" s="33">
        <f t="shared" ref="AA853" si="4074">+AA852+W853</f>
        <v>904854</v>
      </c>
      <c r="AB853" s="33"/>
      <c r="AC853" s="46">
        <f t="shared" ref="AC853" si="4075">+AA853/H853</f>
        <v>1.1716321434980375E-2</v>
      </c>
      <c r="AD853" s="33"/>
      <c r="AE853" s="33">
        <f t="shared" ref="AE853" si="4076">+AA853/BW853</f>
        <v>1072.1018957345971</v>
      </c>
      <c r="AF853" s="50"/>
      <c r="AG853" s="33"/>
      <c r="AH853" s="33"/>
      <c r="AI853" s="213"/>
      <c r="AJ853" s="50"/>
      <c r="AL853" s="23">
        <f t="shared" ref="AL853" si="4077">+AP853-AP852</f>
        <v>236883</v>
      </c>
      <c r="AM853" s="24"/>
      <c r="AN853" s="24"/>
      <c r="AO853" s="24">
        <v>178263</v>
      </c>
      <c r="AP853" s="24">
        <v>86026441</v>
      </c>
      <c r="AQ853" s="24">
        <v>20336656</v>
      </c>
      <c r="AR853" s="461">
        <f t="shared" ref="AR853" si="4078">+AL853/AP852</f>
        <v>2.7612101696572445E-3</v>
      </c>
      <c r="AS853" s="25"/>
      <c r="AT853" s="25"/>
      <c r="AU853" s="24"/>
      <c r="AV853" s="298">
        <f t="shared" ref="AV853" si="4079">+AP853/H853</f>
        <v>1.1138962027723529</v>
      </c>
      <c r="AW853" s="298"/>
      <c r="AX853" s="24">
        <f t="shared" ref="AX853" si="4080">+AP853/BW853</f>
        <v>101927.06279620853</v>
      </c>
      <c r="AY853" s="308"/>
      <c r="BA853" s="65">
        <f t="shared" ref="BA853" si="4081">+BC853-BC852</f>
        <v>574238</v>
      </c>
      <c r="BB853" s="66"/>
      <c r="BC853" s="66">
        <v>1057684209</v>
      </c>
      <c r="BD853" s="66"/>
      <c r="BE853" s="66">
        <f t="shared" ref="BE853" si="4082">+D853</f>
        <v>57970</v>
      </c>
      <c r="BF853" s="66"/>
      <c r="BG853" s="144">
        <f t="shared" ref="BG853" si="4083">+BE853/BA853</f>
        <v>0.10095117355521578</v>
      </c>
      <c r="BH853" s="66"/>
      <c r="BI853" s="170"/>
      <c r="BJ853" s="66"/>
      <c r="BK853" s="66"/>
      <c r="BL853" s="66"/>
      <c r="BM853" s="144"/>
      <c r="BN853" s="65">
        <f t="shared" ref="BN853" si="4084">+BC853/BW853</f>
        <v>1253180.3424170616</v>
      </c>
      <c r="BO853" s="66"/>
      <c r="BP853" s="66">
        <f t="shared" ref="BP853" si="4085">+BP852+BE853</f>
        <v>76323235</v>
      </c>
      <c r="BQ853" s="66"/>
      <c r="BR853" s="435">
        <f t="shared" ref="BR853" si="4086">+BP853/BC853</f>
        <v>7.2160701985104519E-2</v>
      </c>
      <c r="BS853" s="66"/>
      <c r="BT853" s="75"/>
      <c r="BU853" s="170"/>
      <c r="BV853" s="1"/>
      <c r="BW853" s="61">
        <f t="shared" si="1544"/>
        <v>844</v>
      </c>
      <c r="BY853" s="59"/>
    </row>
    <row r="854" spans="2:77" x14ac:dyDescent="0.45">
      <c r="B854" s="158">
        <f t="shared" si="3706"/>
        <v>44754</v>
      </c>
      <c r="C854" s="61"/>
      <c r="D854" s="17">
        <v>95342</v>
      </c>
      <c r="E854" s="16"/>
      <c r="F854" s="16"/>
      <c r="G854" s="16"/>
      <c r="H854" s="16">
        <f t="shared" ref="H854" si="4087">+H853+D854</f>
        <v>77325555</v>
      </c>
      <c r="I854" s="16"/>
      <c r="J854" s="436">
        <f t="shared" ref="J854" si="4088">+D854/H853</f>
        <v>1.234516859353994E-3</v>
      </c>
      <c r="K854" s="16"/>
      <c r="L854" s="16"/>
      <c r="M854" s="16"/>
      <c r="N854" s="16">
        <f t="shared" ref="N854" si="4089">SUM(D848:D854)</f>
        <v>507766</v>
      </c>
      <c r="O854" s="16">
        <f t="shared" ref="O854" si="4090">+H854/BW854</f>
        <v>91509.532544378701</v>
      </c>
      <c r="P854" s="41"/>
      <c r="Q854" s="17">
        <f t="shared" ref="Q854" si="4091">SUM(D848:D854)</f>
        <v>507766</v>
      </c>
      <c r="R854" s="16"/>
      <c r="S854" s="60">
        <f t="shared" ref="S854" si="4092">+(Q854-Q847)/Q847</f>
        <v>0.35998307272834407</v>
      </c>
      <c r="T854" s="16"/>
      <c r="U854" s="41"/>
      <c r="V854" s="10">
        <f t="shared" si="558"/>
        <v>746</v>
      </c>
      <c r="W854" s="34">
        <v>254</v>
      </c>
      <c r="X854" s="33">
        <v>4256</v>
      </c>
      <c r="Y854" s="33"/>
      <c r="Z854" s="33">
        <f t="shared" ref="Z854" si="4093">SUM(W849:W854)</f>
        <v>1051</v>
      </c>
      <c r="AA854" s="33">
        <f t="shared" ref="AA854" si="4094">+AA853+W854</f>
        <v>905108</v>
      </c>
      <c r="AB854" s="33"/>
      <c r="AC854" s="46">
        <f t="shared" ref="AC854" si="4095">+AA854/H854</f>
        <v>1.1705160085821563E-2</v>
      </c>
      <c r="AD854" s="33"/>
      <c r="AE854" s="33">
        <f t="shared" ref="AE854" si="4096">+AA854/BW854</f>
        <v>1071.133727810651</v>
      </c>
      <c r="AF854" s="50"/>
      <c r="AG854" s="33"/>
      <c r="AH854" s="33"/>
      <c r="AI854" s="213"/>
      <c r="AJ854" s="50"/>
      <c r="AL854" s="23">
        <f t="shared" ref="AL854" si="4097">+AP854-AP853</f>
        <v>111105</v>
      </c>
      <c r="AM854" s="24"/>
      <c r="AN854" s="24"/>
      <c r="AO854" s="24">
        <v>178263</v>
      </c>
      <c r="AP854" s="24">
        <v>86137546</v>
      </c>
      <c r="AQ854" s="24">
        <v>20336656</v>
      </c>
      <c r="AR854" s="461">
        <f t="shared" ref="AR854" si="4098">+AL854/AP853</f>
        <v>1.2915215218539612E-3</v>
      </c>
      <c r="AS854" s="25"/>
      <c r="AT854" s="25"/>
      <c r="AU854" s="24"/>
      <c r="AV854" s="298">
        <f t="shared" ref="AV854" si="4099">+AP854/H854</f>
        <v>1.1139596217576453</v>
      </c>
      <c r="AW854" s="298"/>
      <c r="AX854" s="24">
        <f t="shared" ref="AX854" si="4100">+AP854/BW854</f>
        <v>101937.92426035502</v>
      </c>
      <c r="AY854" s="308"/>
      <c r="BA854" s="65">
        <f t="shared" ref="BA854" si="4101">+BC854-BC853</f>
        <v>602969</v>
      </c>
      <c r="BB854" s="66"/>
      <c r="BC854" s="66">
        <v>1058287178</v>
      </c>
      <c r="BD854" s="66"/>
      <c r="BE854" s="66">
        <f t="shared" ref="BE854" si="4102">+D854</f>
        <v>95342</v>
      </c>
      <c r="BF854" s="66"/>
      <c r="BG854" s="144">
        <f t="shared" ref="BG854" si="4103">+BE854/BA854</f>
        <v>0.15812089842098018</v>
      </c>
      <c r="BH854" s="66"/>
      <c r="BI854" s="170"/>
      <c r="BJ854" s="66"/>
      <c r="BK854" s="66"/>
      <c r="BL854" s="66"/>
      <c r="BM854" s="144"/>
      <c r="BN854" s="65">
        <f t="shared" ref="BN854" si="4104">+BC854/BW854</f>
        <v>1252410.8615384616</v>
      </c>
      <c r="BO854" s="66"/>
      <c r="BP854" s="66">
        <f t="shared" ref="BP854" si="4105">+BP853+BE854</f>
        <v>76418577</v>
      </c>
      <c r="BQ854" s="66"/>
      <c r="BR854" s="435">
        <f t="shared" ref="BR854" si="4106">+BP854/BC854</f>
        <v>7.2209678609561692E-2</v>
      </c>
      <c r="BS854" s="66"/>
      <c r="BT854" s="75"/>
      <c r="BU854" s="170"/>
      <c r="BV854" s="1"/>
      <c r="BW854" s="61">
        <f t="shared" si="1544"/>
        <v>845</v>
      </c>
      <c r="BY854" s="59"/>
    </row>
    <row r="855" spans="2:77" x14ac:dyDescent="0.45">
      <c r="B855" s="158">
        <f t="shared" si="3706"/>
        <v>44755</v>
      </c>
      <c r="C855" s="61"/>
      <c r="D855" s="17">
        <v>107981</v>
      </c>
      <c r="E855" s="16"/>
      <c r="F855" s="16"/>
      <c r="G855" s="16"/>
      <c r="H855" s="16">
        <f t="shared" ref="H855" si="4107">+H854+D855</f>
        <v>77433536</v>
      </c>
      <c r="I855" s="16"/>
      <c r="J855" s="436">
        <f t="shared" ref="J855" si="4108">+D855/H854</f>
        <v>1.3964464917193289E-3</v>
      </c>
      <c r="K855" s="16"/>
      <c r="L855" s="16"/>
      <c r="M855" s="16"/>
      <c r="N855" s="16">
        <f t="shared" ref="N855" si="4109">SUM(D849:D855)</f>
        <v>515795</v>
      </c>
      <c r="O855" s="16">
        <f t="shared" ref="O855" si="4110">+H855/BW855</f>
        <v>91529.002364066197</v>
      </c>
      <c r="P855" s="41"/>
      <c r="Q855" s="17">
        <f t="shared" ref="Q855" si="4111">SUM(D849:D855)</f>
        <v>515795</v>
      </c>
      <c r="R855" s="16"/>
      <c r="S855" s="60">
        <f t="shared" ref="S855" si="4112">+(Q855-Q848)/Q848</f>
        <v>0.38261713357476201</v>
      </c>
      <c r="T855" s="16"/>
      <c r="U855" s="41"/>
      <c r="V855" s="10">
        <f t="shared" si="558"/>
        <v>747</v>
      </c>
      <c r="W855" s="34">
        <v>407</v>
      </c>
      <c r="X855" s="33">
        <v>4256</v>
      </c>
      <c r="Y855" s="33"/>
      <c r="Z855" s="33">
        <f t="shared" ref="Z855" si="4113">SUM(W850:W855)</f>
        <v>1138</v>
      </c>
      <c r="AA855" s="33">
        <f t="shared" ref="AA855" si="4114">+AA854+W855</f>
        <v>905515</v>
      </c>
      <c r="AB855" s="33"/>
      <c r="AC855" s="46">
        <f t="shared" ref="AC855" si="4115">+AA855/H855</f>
        <v>1.1694093370603661E-2</v>
      </c>
      <c r="AD855" s="33"/>
      <c r="AE855" s="33">
        <f t="shared" ref="AE855" si="4116">+AA855/BW855</f>
        <v>1070.3486997635935</v>
      </c>
      <c r="AF855" s="50"/>
      <c r="AG855" s="33"/>
      <c r="AH855" s="33"/>
      <c r="AI855" s="213"/>
      <c r="AJ855" s="50"/>
      <c r="AL855" s="23">
        <f t="shared" ref="AL855" si="4117">+AP855-AP854</f>
        <v>112779</v>
      </c>
      <c r="AM855" s="24"/>
      <c r="AN855" s="24"/>
      <c r="AO855" s="24">
        <v>178263</v>
      </c>
      <c r="AP855" s="24">
        <v>86250325</v>
      </c>
      <c r="AQ855" s="24">
        <v>20336656</v>
      </c>
      <c r="AR855" s="461">
        <f t="shared" ref="AR855" si="4118">+AL855/AP854</f>
        <v>1.3092896795550688E-3</v>
      </c>
      <c r="AS855" s="25"/>
      <c r="AT855" s="25"/>
      <c r="AU855" s="24"/>
      <c r="AV855" s="298">
        <f t="shared" ref="AV855" si="4119">+AP855/H855</f>
        <v>1.1138626679788974</v>
      </c>
      <c r="AW855" s="298"/>
      <c r="AX855" s="24">
        <f t="shared" ref="AX855" si="4120">+AP855/BW855</f>
        <v>101950.73877068558</v>
      </c>
      <c r="AY855" s="308"/>
      <c r="BA855" s="65">
        <f t="shared" ref="BA855" si="4121">+BC855-BC854</f>
        <v>809682</v>
      </c>
      <c r="BB855" s="66"/>
      <c r="BC855" s="66">
        <v>1059096860</v>
      </c>
      <c r="BD855" s="66"/>
      <c r="BE855" s="66">
        <f t="shared" ref="BE855" si="4122">+D855</f>
        <v>107981</v>
      </c>
      <c r="BF855" s="66"/>
      <c r="BG855" s="144">
        <f t="shared" ref="BG855" si="4123">+BE855/BA855</f>
        <v>0.13336223356824037</v>
      </c>
      <c r="BH855" s="66"/>
      <c r="BI855" s="170"/>
      <c r="BJ855" s="66"/>
      <c r="BK855" s="66"/>
      <c r="BL855" s="66"/>
      <c r="BM855" s="144"/>
      <c r="BN855" s="65">
        <f t="shared" ref="BN855" si="4124">+BC855/BW855</f>
        <v>1251887.5413711583</v>
      </c>
      <c r="BO855" s="66"/>
      <c r="BP855" s="66">
        <f t="shared" ref="BP855" si="4125">+BP854+BE855</f>
        <v>76526558</v>
      </c>
      <c r="BQ855" s="66"/>
      <c r="BR855" s="435">
        <f t="shared" ref="BR855" si="4126">+BP855/BC855</f>
        <v>7.225642987932189E-2</v>
      </c>
      <c r="BS855" s="66"/>
      <c r="BT855" s="75"/>
      <c r="BU855" s="170"/>
      <c r="BV855" s="1"/>
      <c r="BW855" s="61">
        <f t="shared" si="1544"/>
        <v>846</v>
      </c>
      <c r="BY855" s="59"/>
    </row>
    <row r="856" spans="2:77" x14ac:dyDescent="0.45">
      <c r="B856" s="158">
        <f t="shared" si="3706"/>
        <v>44756</v>
      </c>
      <c r="C856" s="61"/>
      <c r="D856" s="17">
        <v>95400</v>
      </c>
      <c r="E856" s="16"/>
      <c r="F856" s="16"/>
      <c r="G856" s="16"/>
      <c r="H856" s="16">
        <f t="shared" ref="H856" si="4127">+H855+D856</f>
        <v>77528936</v>
      </c>
      <c r="I856" s="16"/>
      <c r="J856" s="436">
        <f t="shared" ref="J856" si="4128">+D856/H855</f>
        <v>1.2320243259974592E-3</v>
      </c>
      <c r="K856" s="16"/>
      <c r="L856" s="16"/>
      <c r="M856" s="16"/>
      <c r="N856" s="16">
        <f t="shared" ref="N856" si="4129">SUM(D850:D856)</f>
        <v>519723</v>
      </c>
      <c r="O856" s="16">
        <f t="shared" ref="O856" si="4130">+H856/BW856</f>
        <v>91533.572609208975</v>
      </c>
      <c r="P856" s="41"/>
      <c r="Q856" s="17">
        <f t="shared" ref="Q856" si="4131">SUM(D850:D856)</f>
        <v>519723</v>
      </c>
      <c r="R856" s="16"/>
      <c r="S856" s="60">
        <f t="shared" ref="S856" si="4132">+(Q856-Q849)/Q849</f>
        <v>0.37292004025856351</v>
      </c>
      <c r="T856" s="16"/>
      <c r="U856" s="41"/>
      <c r="V856" s="10">
        <f t="shared" si="558"/>
        <v>748</v>
      </c>
      <c r="W856" s="34">
        <v>231</v>
      </c>
      <c r="X856" s="33">
        <v>4256</v>
      </c>
      <c r="Y856" s="33"/>
      <c r="Z856" s="33">
        <f t="shared" ref="Z856" si="4133">SUM(W851:W856)</f>
        <v>1066</v>
      </c>
      <c r="AA856" s="33">
        <f t="shared" ref="AA856" si="4134">+AA855+W856</f>
        <v>905746</v>
      </c>
      <c r="AB856" s="33"/>
      <c r="AC856" s="46">
        <f t="shared" ref="AC856" si="4135">+AA856/H856</f>
        <v>1.1682683224235142E-2</v>
      </c>
      <c r="AD856" s="33"/>
      <c r="AE856" s="33">
        <f t="shared" ref="AE856" si="4136">+AA856/BW856</f>
        <v>1069.357733175915</v>
      </c>
      <c r="AF856" s="50"/>
      <c r="AG856" s="33"/>
      <c r="AH856" s="33"/>
      <c r="AI856" s="213"/>
      <c r="AJ856" s="50"/>
      <c r="AL856" s="23">
        <f t="shared" ref="AL856" si="4137">+AP856-AP855</f>
        <v>121616</v>
      </c>
      <c r="AM856" s="24"/>
      <c r="AN856" s="24"/>
      <c r="AO856" s="24">
        <v>178263</v>
      </c>
      <c r="AP856" s="24">
        <v>86371941</v>
      </c>
      <c r="AQ856" s="24">
        <v>20336656</v>
      </c>
      <c r="AR856" s="461">
        <f t="shared" ref="AR856" si="4138">+AL856/AP855</f>
        <v>1.4100352665337784E-3</v>
      </c>
      <c r="AS856" s="25"/>
      <c r="AT856" s="25"/>
      <c r="AU856" s="24"/>
      <c r="AV856" s="298">
        <f t="shared" ref="AV856" si="4139">+AP856/H856</f>
        <v>1.1140607037351835</v>
      </c>
      <c r="AW856" s="298"/>
      <c r="AX856" s="24">
        <f t="shared" ref="AX856" si="4140">+AP856/BW856</f>
        <v>101973.95631641085</v>
      </c>
      <c r="AY856" s="308"/>
      <c r="BA856" s="65">
        <f t="shared" ref="BA856" si="4141">+BC856-BC855</f>
        <v>523812</v>
      </c>
      <c r="BB856" s="66"/>
      <c r="BC856" s="66">
        <v>1059620672</v>
      </c>
      <c r="BD856" s="66"/>
      <c r="BE856" s="66">
        <f t="shared" ref="BE856" si="4142">+D856</f>
        <v>95400</v>
      </c>
      <c r="BF856" s="66"/>
      <c r="BG856" s="144">
        <f t="shared" ref="BG856" si="4143">+BE856/BA856</f>
        <v>0.18212641176605346</v>
      </c>
      <c r="BH856" s="66"/>
      <c r="BI856" s="170"/>
      <c r="BJ856" s="66"/>
      <c r="BK856" s="66"/>
      <c r="BL856" s="66"/>
      <c r="BM856" s="144"/>
      <c r="BN856" s="65">
        <f t="shared" ref="BN856" si="4144">+BC856/BW856</f>
        <v>1251027.9480519481</v>
      </c>
      <c r="BO856" s="66"/>
      <c r="BP856" s="66">
        <f t="shared" ref="BP856" si="4145">+BP855+BE856</f>
        <v>76621958</v>
      </c>
      <c r="BQ856" s="66"/>
      <c r="BR856" s="435">
        <f t="shared" ref="BR856" si="4146">+BP856/BC856</f>
        <v>7.231074291461162E-2</v>
      </c>
      <c r="BS856" s="66"/>
      <c r="BT856" s="75"/>
      <c r="BU856" s="170"/>
      <c r="BV856" s="1"/>
      <c r="BW856" s="61">
        <f t="shared" si="1544"/>
        <v>847</v>
      </c>
      <c r="BY856" s="59"/>
    </row>
    <row r="857" spans="2:77" x14ac:dyDescent="0.45">
      <c r="B857" s="158">
        <f t="shared" si="3706"/>
        <v>44757</v>
      </c>
      <c r="C857" s="61"/>
      <c r="D857" s="17">
        <v>94037</v>
      </c>
      <c r="E857" s="16"/>
      <c r="F857" s="16"/>
      <c r="G857" s="16"/>
      <c r="H857" s="16">
        <f t="shared" ref="H857" si="4147">+H856+D857</f>
        <v>77622973</v>
      </c>
      <c r="I857" s="16"/>
      <c r="J857" s="436">
        <f t="shared" ref="J857" si="4148">+D857/H856</f>
        <v>1.2129277770560401E-3</v>
      </c>
      <c r="K857" s="16"/>
      <c r="L857" s="16"/>
      <c r="M857" s="16"/>
      <c r="N857" s="16">
        <f t="shared" ref="N857" si="4149">SUM(D851:D857)</f>
        <v>505783</v>
      </c>
      <c r="O857" s="16">
        <f t="shared" ref="O857" si="4150">+H857/BW857</f>
        <v>91536.524764150949</v>
      </c>
      <c r="P857" s="41"/>
      <c r="Q857" s="17">
        <f t="shared" ref="Q857" si="4151">SUM(D851:D857)</f>
        <v>505783</v>
      </c>
      <c r="R857" s="16"/>
      <c r="S857" s="60">
        <f t="shared" ref="S857" si="4152">+(Q857-Q850)/Q850</f>
        <v>0.31802877975306326</v>
      </c>
      <c r="T857" s="16"/>
      <c r="U857" s="41"/>
      <c r="V857" s="10">
        <f t="shared" si="558"/>
        <v>749</v>
      </c>
      <c r="W857" s="34">
        <v>207</v>
      </c>
      <c r="X857" s="33">
        <v>4256</v>
      </c>
      <c r="Y857" s="33"/>
      <c r="Z857" s="33">
        <f t="shared" ref="Z857" si="4153">SUM(W852:W857)</f>
        <v>1231</v>
      </c>
      <c r="AA857" s="33">
        <f t="shared" ref="AA857" si="4154">+AA856+W857</f>
        <v>905953</v>
      </c>
      <c r="AB857" s="33"/>
      <c r="AC857" s="46">
        <f t="shared" ref="AC857" si="4155">+AA857/H857</f>
        <v>1.1671196876213437E-2</v>
      </c>
      <c r="AD857" s="33"/>
      <c r="AE857" s="33">
        <f t="shared" ref="AE857" si="4156">+AA857/BW857</f>
        <v>1068.3408018867924</v>
      </c>
      <c r="AF857" s="50"/>
      <c r="AG857" s="33"/>
      <c r="AH857" s="33"/>
      <c r="AI857" s="213"/>
      <c r="AJ857" s="50"/>
      <c r="AL857" s="23">
        <f t="shared" ref="AL857" si="4157">+AP857-AP856</f>
        <v>96077</v>
      </c>
      <c r="AM857" s="24"/>
      <c r="AN857" s="24"/>
      <c r="AO857" s="24">
        <v>178263</v>
      </c>
      <c r="AP857" s="24">
        <v>86468018</v>
      </c>
      <c r="AQ857" s="24">
        <v>20336656</v>
      </c>
      <c r="AR857" s="461">
        <f t="shared" ref="AR857" si="4158">+AL857/AP856</f>
        <v>1.1123635626065183E-3</v>
      </c>
      <c r="AS857" s="25"/>
      <c r="AT857" s="25"/>
      <c r="AU857" s="24"/>
      <c r="AV857" s="298">
        <f t="shared" ref="AV857" si="4159">+AP857/H857</f>
        <v>1.1139488048209645</v>
      </c>
      <c r="AW857" s="298"/>
      <c r="AX857" s="24">
        <f t="shared" ref="AX857" si="4160">+AP857/BW857</f>
        <v>101967.00235849057</v>
      </c>
      <c r="AY857" s="308"/>
      <c r="BA857" s="65">
        <f t="shared" ref="BA857" si="4161">+BC857-BC856</f>
        <v>447988</v>
      </c>
      <c r="BB857" s="66"/>
      <c r="BC857" s="66">
        <v>1060068660</v>
      </c>
      <c r="BD857" s="66"/>
      <c r="BE857" s="66">
        <f t="shared" ref="BE857" si="4162">+D857</f>
        <v>94037</v>
      </c>
      <c r="BF857" s="66"/>
      <c r="BG857" s="144">
        <f t="shared" ref="BG857" si="4163">+BE857/BA857</f>
        <v>0.20990964043679741</v>
      </c>
      <c r="BH857" s="66"/>
      <c r="BI857" s="170"/>
      <c r="BJ857" s="66"/>
      <c r="BK857" s="66"/>
      <c r="BL857" s="66"/>
      <c r="BM857" s="144"/>
      <c r="BN857" s="65">
        <f t="shared" ref="BN857" si="4164">+BC857/BW857</f>
        <v>1250080.966981132</v>
      </c>
      <c r="BO857" s="66"/>
      <c r="BP857" s="66">
        <f t="shared" ref="BP857" si="4165">+BP856+BE857</f>
        <v>76715995</v>
      </c>
      <c r="BQ857" s="66"/>
      <c r="BR857" s="435">
        <f t="shared" ref="BR857" si="4166">+BP857/BC857</f>
        <v>7.2368892596070142E-2</v>
      </c>
      <c r="BS857" s="66"/>
      <c r="BT857" s="75"/>
      <c r="BU857" s="170"/>
      <c r="BV857" s="1"/>
      <c r="BW857" s="61">
        <f t="shared" si="1544"/>
        <v>848</v>
      </c>
      <c r="BY857" s="59"/>
    </row>
    <row r="858" spans="2:77" x14ac:dyDescent="0.45">
      <c r="B858" s="158">
        <f t="shared" si="3706"/>
        <v>44758</v>
      </c>
      <c r="C858" s="61"/>
      <c r="D858" s="17">
        <v>27003</v>
      </c>
      <c r="E858" s="16"/>
      <c r="F858" s="16"/>
      <c r="G858" s="16"/>
      <c r="H858" s="16">
        <f t="shared" ref="H858" si="4167">+H857+D858</f>
        <v>77649976</v>
      </c>
      <c r="I858" s="16"/>
      <c r="J858" s="436">
        <f t="shared" ref="J858" si="4168">+D858/H857</f>
        <v>3.478738182316207E-4</v>
      </c>
      <c r="K858" s="16"/>
      <c r="L858" s="16"/>
      <c r="M858" s="16"/>
      <c r="N858" s="16">
        <f t="shared" ref="N858" si="4169">SUM(D852:D858)</f>
        <v>501672</v>
      </c>
      <c r="O858" s="16">
        <f t="shared" ref="O858" si="4170">+H858/BW858</f>
        <v>91460.513545347465</v>
      </c>
      <c r="P858" s="41"/>
      <c r="Q858" s="17">
        <f t="shared" ref="Q858" si="4171">SUM(D852:D858)</f>
        <v>501672</v>
      </c>
      <c r="R858" s="16"/>
      <c r="S858" s="60">
        <f t="shared" ref="S858" si="4172">+(Q858-Q851)/Q851</f>
        <v>0.25540087735322603</v>
      </c>
      <c r="T858" s="16"/>
      <c r="U858" s="41"/>
      <c r="V858" s="10">
        <f t="shared" si="558"/>
        <v>750</v>
      </c>
      <c r="W858" s="34">
        <v>54</v>
      </c>
      <c r="X858" s="33">
        <v>4256</v>
      </c>
      <c r="Y858" s="33"/>
      <c r="Z858" s="33">
        <f t="shared" ref="Z858" si="4173">SUM(W853:W858)</f>
        <v>1275</v>
      </c>
      <c r="AA858" s="33">
        <f t="shared" ref="AA858" si="4174">+AA857+W858</f>
        <v>906007</v>
      </c>
      <c r="AB858" s="33"/>
      <c r="AC858" s="46">
        <f t="shared" ref="AC858" si="4175">+AA858/H858</f>
        <v>1.1667833612723846E-2</v>
      </c>
      <c r="AD858" s="33"/>
      <c r="AE858" s="33">
        <f t="shared" ref="AE858" si="4176">+AA858/BW858</f>
        <v>1067.1460541813899</v>
      </c>
      <c r="AF858" s="50"/>
      <c r="AG858" s="33"/>
      <c r="AH858" s="33"/>
      <c r="AI858" s="213"/>
      <c r="AJ858" s="50"/>
      <c r="AL858" s="23">
        <f t="shared" ref="AL858" si="4177">+AP858-AP857</f>
        <v>93756</v>
      </c>
      <c r="AM858" s="24"/>
      <c r="AN858" s="24"/>
      <c r="AO858" s="24">
        <v>178263</v>
      </c>
      <c r="AP858" s="24">
        <v>86561774</v>
      </c>
      <c r="AQ858" s="24">
        <v>20336656</v>
      </c>
      <c r="AR858" s="461">
        <f t="shared" ref="AR858" si="4178">+AL858/AP857</f>
        <v>1.0842852903139286E-3</v>
      </c>
      <c r="AS858" s="25"/>
      <c r="AT858" s="25"/>
      <c r="AU858" s="24"/>
      <c r="AV858" s="298">
        <f t="shared" ref="AV858" si="4179">+AP858/H858</f>
        <v>1.1147688442299069</v>
      </c>
      <c r="AW858" s="298"/>
      <c r="AX858" s="24">
        <f t="shared" ref="AX858" si="4180">+AP858/BW858</f>
        <v>101957.33097762073</v>
      </c>
      <c r="AY858" s="308"/>
      <c r="BA858" s="65">
        <f t="shared" ref="BA858" si="4181">+BC858-BC857</f>
        <v>181482</v>
      </c>
      <c r="BB858" s="66"/>
      <c r="BC858" s="66">
        <v>1060250142</v>
      </c>
      <c r="BD858" s="66"/>
      <c r="BE858" s="66">
        <f t="shared" ref="BE858" si="4182">+D858</f>
        <v>27003</v>
      </c>
      <c r="BF858" s="66"/>
      <c r="BG858" s="144">
        <f t="shared" ref="BG858" si="4183">+BE858/BA858</f>
        <v>0.14879161569742455</v>
      </c>
      <c r="BH858" s="66"/>
      <c r="BI858" s="170"/>
      <c r="BJ858" s="66"/>
      <c r="BK858" s="66"/>
      <c r="BL858" s="66"/>
      <c r="BM858" s="144"/>
      <c r="BN858" s="65">
        <f t="shared" ref="BN858" si="4184">+BC858/BW858</f>
        <v>1248822.3109540637</v>
      </c>
      <c r="BO858" s="66"/>
      <c r="BP858" s="66">
        <f t="shared" ref="BP858" si="4185">+BP857+BE858</f>
        <v>76742998</v>
      </c>
      <c r="BQ858" s="66"/>
      <c r="BR858" s="435">
        <f t="shared" ref="BR858" si="4186">+BP858/BC858</f>
        <v>7.2381973800292126E-2</v>
      </c>
      <c r="BS858" s="66"/>
      <c r="BT858" s="75"/>
      <c r="BU858" s="170"/>
      <c r="BV858" s="1"/>
      <c r="BW858" s="61">
        <f t="shared" si="1544"/>
        <v>849</v>
      </c>
      <c r="BY858" s="59"/>
    </row>
    <row r="859" spans="2:77" x14ac:dyDescent="0.45">
      <c r="B859" s="347">
        <f t="shared" si="3706"/>
        <v>44759</v>
      </c>
      <c r="C859" s="61"/>
      <c r="D859" s="17">
        <v>24757</v>
      </c>
      <c r="E859" s="16"/>
      <c r="F859" s="16"/>
      <c r="G859" s="16"/>
      <c r="H859" s="16">
        <f t="shared" ref="H859" si="4187">+H858+D859</f>
        <v>77674733</v>
      </c>
      <c r="I859" s="16"/>
      <c r="J859" s="436">
        <f t="shared" ref="J859" si="4188">+D859/H858</f>
        <v>3.1882817323729761E-4</v>
      </c>
      <c r="K859" s="16"/>
      <c r="L859" s="16"/>
      <c r="M859" s="16"/>
      <c r="N859" s="16">
        <f t="shared" ref="N859" si="4189">SUM(D853:D859)</f>
        <v>502490</v>
      </c>
      <c r="O859" s="16">
        <f t="shared" ref="O859" si="4190">+H859/BW859</f>
        <v>91382.038823529409</v>
      </c>
      <c r="P859" s="41"/>
      <c r="Q859" s="17">
        <f t="shared" ref="Q859" si="4191">SUM(D853:D859)</f>
        <v>502490</v>
      </c>
      <c r="R859" s="16"/>
      <c r="S859" s="60">
        <f t="shared" ref="S859" si="4192">+(Q859-Q852)/Q852</f>
        <v>0.21534093107851862</v>
      </c>
      <c r="T859" s="16"/>
      <c r="U859" s="41"/>
      <c r="V859" s="10">
        <f t="shared" si="558"/>
        <v>751</v>
      </c>
      <c r="W859" s="34">
        <v>21</v>
      </c>
      <c r="X859" s="33">
        <v>4256</v>
      </c>
      <c r="Y859" s="33"/>
      <c r="Z859" s="33">
        <f t="shared" ref="Z859" si="4193">SUM(W854:W859)</f>
        <v>1174</v>
      </c>
      <c r="AA859" s="33">
        <f t="shared" ref="AA859" si="4194">+AA858+W859</f>
        <v>906028</v>
      </c>
      <c r="AB859" s="33"/>
      <c r="AC859" s="46">
        <f t="shared" ref="AC859" si="4195">+AA859/H859</f>
        <v>1.1664385122508242E-2</v>
      </c>
      <c r="AD859" s="33"/>
      <c r="AE859" s="33">
        <f t="shared" ref="AE859" si="4196">+AA859/BW859</f>
        <v>1065.9152941176471</v>
      </c>
      <c r="AF859" s="50"/>
      <c r="AG859" s="33"/>
      <c r="AH859" s="33"/>
      <c r="AI859" s="213"/>
      <c r="AJ859" s="50"/>
      <c r="AL859" s="23">
        <f t="shared" ref="AL859" si="4197">+AP859-AP858</f>
        <v>84446</v>
      </c>
      <c r="AM859" s="24"/>
      <c r="AN859" s="24"/>
      <c r="AO859" s="24">
        <v>178263</v>
      </c>
      <c r="AP859" s="24">
        <v>86646220</v>
      </c>
      <c r="AQ859" s="24">
        <v>20336656</v>
      </c>
      <c r="AR859" s="461">
        <f t="shared" ref="AR859" si="4198">+AL859/AP858</f>
        <v>9.7555764048920719E-4</v>
      </c>
      <c r="AS859" s="25"/>
      <c r="AT859" s="25"/>
      <c r="AU859" s="24"/>
      <c r="AV859" s="298">
        <f t="shared" ref="AV859" si="4199">+AP859/H859</f>
        <v>1.1155007124388827</v>
      </c>
      <c r="AW859" s="298"/>
      <c r="AX859" s="24">
        <f t="shared" ref="AX859" si="4200">+AP859/BW859</f>
        <v>101936.72941176471</v>
      </c>
      <c r="AY859" s="308"/>
      <c r="BA859" s="65">
        <f t="shared" ref="BA859" si="4201">+BC859-BC858</f>
        <v>139898</v>
      </c>
      <c r="BB859" s="66"/>
      <c r="BC859" s="66">
        <v>1060390040</v>
      </c>
      <c r="BD859" s="66"/>
      <c r="BE859" s="66">
        <f t="shared" ref="BE859" si="4202">+D859</f>
        <v>24757</v>
      </c>
      <c r="BF859" s="66"/>
      <c r="BG859" s="144">
        <f t="shared" ref="BG859" si="4203">+BE859/BA859</f>
        <v>0.17696464567041703</v>
      </c>
      <c r="BH859" s="66"/>
      <c r="BI859" s="170"/>
      <c r="BJ859" s="66"/>
      <c r="BK859" s="66"/>
      <c r="BL859" s="66"/>
      <c r="BM859" s="144"/>
      <c r="BN859" s="65">
        <f t="shared" ref="BN859" si="4204">+BC859/BW859</f>
        <v>1247517.6941176471</v>
      </c>
      <c r="BO859" s="66"/>
      <c r="BP859" s="66">
        <f t="shared" ref="BP859" si="4205">+BP858+BE859</f>
        <v>76767755</v>
      </c>
      <c r="BQ859" s="66"/>
      <c r="BR859" s="435">
        <f t="shared" ref="BR859" si="4206">+BP859/BC859</f>
        <v>7.2395771465375139E-2</v>
      </c>
      <c r="BS859" s="66"/>
      <c r="BT859" s="75"/>
      <c r="BU859" s="170"/>
      <c r="BV859" s="1"/>
      <c r="BW859" s="61">
        <f t="shared" si="1544"/>
        <v>850</v>
      </c>
      <c r="BY859" s="59"/>
    </row>
    <row r="860" spans="2:77" x14ac:dyDescent="0.45">
      <c r="B860" s="158">
        <f t="shared" si="3706"/>
        <v>44760</v>
      </c>
      <c r="C860" s="61"/>
      <c r="D860" s="17">
        <v>58177</v>
      </c>
      <c r="E860" s="16"/>
      <c r="F860" s="16"/>
      <c r="G860" s="16"/>
      <c r="H860" s="16">
        <f t="shared" ref="H860" si="4207">+H859+D860</f>
        <v>77732910</v>
      </c>
      <c r="I860" s="16"/>
      <c r="J860" s="436">
        <f t="shared" ref="J860" si="4208">+D860/H859</f>
        <v>7.48982297756981E-4</v>
      </c>
      <c r="K860" s="16"/>
      <c r="L860" s="16"/>
      <c r="M860" s="16"/>
      <c r="N860" s="16">
        <f t="shared" ref="N860" si="4209">SUM(D854:D860)</f>
        <v>502697</v>
      </c>
      <c r="O860" s="16">
        <f t="shared" ref="O860" si="4210">+H860/BW860</f>
        <v>91343.019976498239</v>
      </c>
      <c r="P860" s="41"/>
      <c r="Q860" s="17">
        <f t="shared" ref="Q860" si="4211">SUM(D854:D860)</f>
        <v>502697</v>
      </c>
      <c r="R860" s="16"/>
      <c r="S860" s="60">
        <f t="shared" ref="S860" si="4212">+(Q860-Q853)/Q853</f>
        <v>9.7330547970024606E-2</v>
      </c>
      <c r="T860" s="16"/>
      <c r="U860" s="41"/>
      <c r="V860" s="10">
        <f t="shared" si="558"/>
        <v>752</v>
      </c>
      <c r="W860" s="34">
        <v>149</v>
      </c>
      <c r="X860" s="33">
        <v>4256</v>
      </c>
      <c r="Y860" s="33"/>
      <c r="Z860" s="33">
        <f t="shared" ref="Z860" si="4213">SUM(W855:W860)</f>
        <v>1069</v>
      </c>
      <c r="AA860" s="33">
        <f t="shared" ref="AA860" si="4214">+AA859+W860</f>
        <v>906177</v>
      </c>
      <c r="AB860" s="33"/>
      <c r="AC860" s="46">
        <f t="shared" ref="AC860" si="4215">+AA860/H860</f>
        <v>1.1657572063106861E-2</v>
      </c>
      <c r="AD860" s="33"/>
      <c r="AE860" s="33">
        <f t="shared" ref="AE860" si="4216">+AA860/BW860</f>
        <v>1064.8378378378379</v>
      </c>
      <c r="AF860" s="50"/>
      <c r="AG860" s="33"/>
      <c r="AH860" s="33"/>
      <c r="AI860" s="213"/>
      <c r="AJ860" s="50"/>
      <c r="AL860" s="23">
        <f t="shared" ref="AL860" si="4217">+AP860-AP859</f>
        <v>106349</v>
      </c>
      <c r="AM860" s="24"/>
      <c r="AN860" s="24"/>
      <c r="AO860" s="24">
        <v>178263</v>
      </c>
      <c r="AP860" s="24">
        <v>86752569</v>
      </c>
      <c r="AQ860" s="24">
        <v>20336656</v>
      </c>
      <c r="AR860" s="461">
        <f t="shared" ref="AR860" si="4218">+AL860/AP859</f>
        <v>1.2273934165852821E-3</v>
      </c>
      <c r="AS860" s="25"/>
      <c r="AT860" s="25"/>
      <c r="AU860" s="24"/>
      <c r="AV860" s="298">
        <f t="shared" ref="AV860" si="4219">+AP860/H860</f>
        <v>1.1160339809740816</v>
      </c>
      <c r="AW860" s="298"/>
      <c r="AX860" s="24">
        <f t="shared" ref="AX860" si="4220">+AP860/BW860</f>
        <v>101941.91421856639</v>
      </c>
      <c r="AY860" s="308"/>
      <c r="BA860" s="65">
        <f t="shared" ref="BA860" si="4221">+BC860-BC859</f>
        <v>493841</v>
      </c>
      <c r="BB860" s="66"/>
      <c r="BC860" s="66">
        <v>1060883881</v>
      </c>
      <c r="BD860" s="66"/>
      <c r="BE860" s="66">
        <f t="shared" ref="BE860" si="4222">+D860</f>
        <v>58177</v>
      </c>
      <c r="BF860" s="66"/>
      <c r="BG860" s="144">
        <f t="shared" ref="BG860" si="4223">+BE860/BA860</f>
        <v>0.11780512351141359</v>
      </c>
      <c r="BH860" s="66"/>
      <c r="BI860" s="170"/>
      <c r="BJ860" s="66"/>
      <c r="BK860" s="66"/>
      <c r="BL860" s="66"/>
      <c r="BM860" s="144"/>
      <c r="BN860" s="65">
        <f t="shared" ref="BN860" si="4224">+BC860/BW860</f>
        <v>1246632.0575793185</v>
      </c>
      <c r="BO860" s="66"/>
      <c r="BP860" s="66">
        <f t="shared" ref="BP860" si="4225">+BP859+BE860</f>
        <v>76825932</v>
      </c>
      <c r="BQ860" s="66"/>
      <c r="BR860" s="435">
        <f t="shared" ref="BR860" si="4226">+BP860/BC860</f>
        <v>7.2416909499636375E-2</v>
      </c>
      <c r="BS860" s="66"/>
      <c r="BT860" s="75"/>
      <c r="BU860" s="170"/>
      <c r="BV860" s="1"/>
      <c r="BW860" s="61">
        <f t="shared" si="1544"/>
        <v>851</v>
      </c>
      <c r="BY860" s="59"/>
    </row>
    <row r="861" spans="2:77" x14ac:dyDescent="0.45">
      <c r="B861" s="158">
        <f t="shared" si="3706"/>
        <v>44761</v>
      </c>
      <c r="C861" s="61"/>
      <c r="D861" s="17">
        <v>75397</v>
      </c>
      <c r="E861" s="16"/>
      <c r="F861" s="16"/>
      <c r="G861" s="16"/>
      <c r="H861" s="16">
        <f t="shared" ref="H861" si="4227">+H860+D861</f>
        <v>77808307</v>
      </c>
      <c r="I861" s="16"/>
      <c r="J861" s="436">
        <f t="shared" ref="J861" si="4228">+D861/H860</f>
        <v>9.6994953617457523E-4</v>
      </c>
      <c r="K861" s="16"/>
      <c r="L861" s="16"/>
      <c r="M861" s="16"/>
      <c r="N861" s="16">
        <f t="shared" ref="N861" si="4229">SUM(D855:D861)</f>
        <v>482752</v>
      </c>
      <c r="O861" s="16">
        <f t="shared" ref="O861" si="4230">+H861/BW861</f>
        <v>91324.303990610322</v>
      </c>
      <c r="P861" s="41"/>
      <c r="Q861" s="17">
        <f t="shared" ref="Q861" si="4231">SUM(D855:D861)</f>
        <v>482752</v>
      </c>
      <c r="R861" s="16"/>
      <c r="S861" s="60">
        <f t="shared" ref="S861" si="4232">+(Q861-Q854)/Q854</f>
        <v>-4.9262849422765605E-2</v>
      </c>
      <c r="T861" s="16"/>
      <c r="U861" s="41"/>
      <c r="V861" s="10">
        <f t="shared" si="558"/>
        <v>753</v>
      </c>
      <c r="W861" s="34">
        <v>299</v>
      </c>
      <c r="X861" s="33">
        <v>4256</v>
      </c>
      <c r="Y861" s="33"/>
      <c r="Z861" s="33">
        <f t="shared" ref="Z861" si="4233">SUM(W856:W861)</f>
        <v>961</v>
      </c>
      <c r="AA861" s="33">
        <f t="shared" ref="AA861" si="4234">+AA860+W861</f>
        <v>906476</v>
      </c>
      <c r="AB861" s="33"/>
      <c r="AC861" s="46">
        <f t="shared" ref="AC861" si="4235">+AA861/H861</f>
        <v>1.1650118540684866E-2</v>
      </c>
      <c r="AD861" s="33"/>
      <c r="AE861" s="33">
        <f t="shared" ref="AE861" si="4236">+AA861/BW861</f>
        <v>1063.9389671361503</v>
      </c>
      <c r="AF861" s="50"/>
      <c r="AG861" s="33"/>
      <c r="AH861" s="33"/>
      <c r="AI861" s="213"/>
      <c r="AJ861" s="50"/>
      <c r="AL861" s="23">
        <f t="shared" ref="AL861" si="4237">+AP861-AP860</f>
        <v>109370</v>
      </c>
      <c r="AM861" s="24"/>
      <c r="AN861" s="24"/>
      <c r="AO861" s="24">
        <v>178263</v>
      </c>
      <c r="AP861" s="24">
        <v>86861939</v>
      </c>
      <c r="AQ861" s="24">
        <v>20336656</v>
      </c>
      <c r="AR861" s="461">
        <f t="shared" ref="AR861" si="4238">+AL861/AP860</f>
        <v>1.2607119450260891E-3</v>
      </c>
      <c r="AS861" s="25"/>
      <c r="AT861" s="25"/>
      <c r="AU861" s="24"/>
      <c r="AV861" s="298">
        <f t="shared" ref="AV861" si="4239">+AP861/H861</f>
        <v>1.1163581672584137</v>
      </c>
      <c r="AW861" s="298"/>
      <c r="AX861" s="24">
        <f t="shared" ref="AX861" si="4240">+AP861/BW861</f>
        <v>101950.63262910797</v>
      </c>
      <c r="AY861" s="308"/>
      <c r="BA861" s="65">
        <f t="shared" ref="BA861" si="4241">+BC861-BC860</f>
        <v>347350</v>
      </c>
      <c r="BB861" s="66"/>
      <c r="BC861" s="66">
        <v>1061231231</v>
      </c>
      <c r="BD861" s="66"/>
      <c r="BE861" s="66">
        <f t="shared" ref="BE861" si="4242">+D861</f>
        <v>75397</v>
      </c>
      <c r="BF861" s="66"/>
      <c r="BG861" s="144">
        <f t="shared" ref="BG861" si="4243">+BE861/BA861</f>
        <v>0.21706348063912481</v>
      </c>
      <c r="BH861" s="66"/>
      <c r="BI861" s="170"/>
      <c r="BJ861" s="66"/>
      <c r="BK861" s="66"/>
      <c r="BL861" s="66"/>
      <c r="BM861" s="144"/>
      <c r="BN861" s="65">
        <f t="shared" ref="BN861" si="4244">+BC861/BW861</f>
        <v>1245576.5622065729</v>
      </c>
      <c r="BO861" s="66"/>
      <c r="BP861" s="66">
        <f t="shared" ref="BP861" si="4245">+BP860+BE861</f>
        <v>76901329</v>
      </c>
      <c r="BQ861" s="66"/>
      <c r="BR861" s="435">
        <f t="shared" ref="BR861" si="4246">+BP861/BC861</f>
        <v>7.2464253551542901E-2</v>
      </c>
      <c r="BS861" s="66"/>
      <c r="BT861" s="75"/>
      <c r="BU861" s="170"/>
      <c r="BV861" s="1"/>
      <c r="BW861" s="61">
        <f t="shared" si="1544"/>
        <v>852</v>
      </c>
      <c r="BY861" s="59"/>
    </row>
    <row r="862" spans="2:77" x14ac:dyDescent="0.45">
      <c r="B862" s="158">
        <f t="shared" si="3706"/>
        <v>44762</v>
      </c>
      <c r="C862" s="61"/>
      <c r="D862" s="17">
        <v>113588</v>
      </c>
      <c r="E862" s="16"/>
      <c r="F862" s="16"/>
      <c r="G862" s="16"/>
      <c r="H862" s="16">
        <f t="shared" ref="H862" si="4247">+H861+D862</f>
        <v>77921895</v>
      </c>
      <c r="I862" s="16"/>
      <c r="J862" s="436">
        <f t="shared" ref="J862" si="4248">+D862/H861</f>
        <v>1.4598441269259336E-3</v>
      </c>
      <c r="K862" s="16"/>
      <c r="L862" s="16"/>
      <c r="M862" s="16"/>
      <c r="N862" s="16">
        <f t="shared" ref="N862" si="4249">SUM(D856:D862)</f>
        <v>488359</v>
      </c>
      <c r="O862" s="16">
        <f t="shared" ref="O862" si="4250">+H862/BW862</f>
        <v>91350.404454865187</v>
      </c>
      <c r="P862" s="41"/>
      <c r="Q862" s="17">
        <f t="shared" ref="Q862" si="4251">SUM(D856:D862)</f>
        <v>488359</v>
      </c>
      <c r="R862" s="16"/>
      <c r="S862" s="60">
        <f t="shared" ref="S862" si="4252">+(Q862-Q855)/Q855</f>
        <v>-5.3191674987155747E-2</v>
      </c>
      <c r="T862" s="16"/>
      <c r="U862" s="41"/>
      <c r="V862" s="10">
        <f t="shared" si="558"/>
        <v>754</v>
      </c>
      <c r="W862" s="34">
        <v>367</v>
      </c>
      <c r="X862" s="33">
        <v>4256</v>
      </c>
      <c r="Y862" s="33"/>
      <c r="Z862" s="33">
        <f t="shared" ref="Z862" si="4253">SUM(W857:W862)</f>
        <v>1097</v>
      </c>
      <c r="AA862" s="33">
        <f t="shared" ref="AA862" si="4254">+AA861+W862</f>
        <v>906843</v>
      </c>
      <c r="AB862" s="33"/>
      <c r="AC862" s="46">
        <f t="shared" ref="AC862" si="4255">+AA862/H862</f>
        <v>1.1637845819843062E-2</v>
      </c>
      <c r="AD862" s="33"/>
      <c r="AE862" s="33">
        <f t="shared" ref="AE862" si="4256">+AA862/BW862</f>
        <v>1063.1219226260257</v>
      </c>
      <c r="AF862" s="50"/>
      <c r="AG862" s="33"/>
      <c r="AH862" s="33"/>
      <c r="AI862" s="213"/>
      <c r="AJ862" s="50"/>
      <c r="AL862" s="23">
        <f t="shared" ref="AL862" si="4257">+AP862-AP861</f>
        <v>111499</v>
      </c>
      <c r="AM862" s="24"/>
      <c r="AN862" s="24"/>
      <c r="AO862" s="24">
        <v>178263</v>
      </c>
      <c r="AP862" s="24">
        <v>86973438</v>
      </c>
      <c r="AQ862" s="24">
        <v>20336656</v>
      </c>
      <c r="AR862" s="461">
        <f t="shared" ref="AR862" si="4258">+AL862/AP861</f>
        <v>1.283634711401043E-3</v>
      </c>
      <c r="AS862" s="25"/>
      <c r="AT862" s="25"/>
      <c r="AU862" s="24"/>
      <c r="AV862" s="298">
        <f t="shared" ref="AV862" si="4259">+AP862/H862</f>
        <v>1.1161617411896874</v>
      </c>
      <c r="AW862" s="298"/>
      <c r="AX862" s="24">
        <f t="shared" ref="AX862" si="4260">+AP862/BW862</f>
        <v>101961.8264947245</v>
      </c>
      <c r="AY862" s="308"/>
      <c r="BA862" s="65">
        <f t="shared" ref="BA862" si="4261">+BC862-BC861</f>
        <v>825285</v>
      </c>
      <c r="BB862" s="66"/>
      <c r="BC862" s="66">
        <v>1062056516</v>
      </c>
      <c r="BD862" s="66"/>
      <c r="BE862" s="66">
        <f t="shared" ref="BE862" si="4262">+D862</f>
        <v>113588</v>
      </c>
      <c r="BF862" s="66"/>
      <c r="BG862" s="144">
        <f t="shared" ref="BG862" si="4263">+BE862/BA862</f>
        <v>0.13763487764832755</v>
      </c>
      <c r="BH862" s="66"/>
      <c r="BI862" s="170"/>
      <c r="BJ862" s="66"/>
      <c r="BK862" s="66"/>
      <c r="BL862" s="66"/>
      <c r="BM862" s="144"/>
      <c r="BN862" s="65">
        <f t="shared" ref="BN862" si="4264">+BC862/BW862</f>
        <v>1245083.8405627199</v>
      </c>
      <c r="BO862" s="66"/>
      <c r="BP862" s="66">
        <f t="shared" ref="BP862" si="4265">+BP861+BE862</f>
        <v>77014917</v>
      </c>
      <c r="BQ862" s="66"/>
      <c r="BR862" s="435">
        <f t="shared" ref="BR862" si="4266">+BP862/BC862</f>
        <v>7.2514895243107766E-2</v>
      </c>
      <c r="BS862" s="66"/>
      <c r="BT862" s="75"/>
      <c r="BU862" s="170"/>
      <c r="BV862" s="1"/>
      <c r="BW862" s="61">
        <f t="shared" si="1544"/>
        <v>853</v>
      </c>
      <c r="BY862" s="59"/>
    </row>
    <row r="863" spans="2:77" x14ac:dyDescent="0.45">
      <c r="B863" s="158">
        <f t="shared" si="3706"/>
        <v>44763</v>
      </c>
      <c r="C863" s="61"/>
      <c r="D863" s="17">
        <v>100711</v>
      </c>
      <c r="E863" s="16"/>
      <c r="F863" s="16"/>
      <c r="G863" s="16"/>
      <c r="H863" s="16">
        <f t="shared" ref="H863" si="4267">+H862+D863</f>
        <v>78022606</v>
      </c>
      <c r="I863" s="16"/>
      <c r="J863" s="436">
        <f t="shared" ref="J863" si="4268">+D863/H862</f>
        <v>1.2924608673852195E-3</v>
      </c>
      <c r="K863" s="16"/>
      <c r="L863" s="16"/>
      <c r="M863" s="16"/>
      <c r="N863" s="16">
        <f t="shared" ref="N863" si="4269">SUM(D857:D863)</f>
        <v>493670</v>
      </c>
      <c r="O863" s="16">
        <f t="shared" ref="O863" si="4270">+H863/BW863</f>
        <v>91361.365339578449</v>
      </c>
      <c r="P863" s="41"/>
      <c r="Q863" s="17">
        <f t="shared" ref="Q863" si="4271">SUM(D857:D863)</f>
        <v>493670</v>
      </c>
      <c r="R863" s="16"/>
      <c r="S863" s="60">
        <f t="shared" ref="S863" si="4272">+(Q863-Q856)/Q856</f>
        <v>-5.0128626210500592E-2</v>
      </c>
      <c r="T863" s="16"/>
      <c r="U863" s="41"/>
      <c r="V863" s="10">
        <f t="shared" si="558"/>
        <v>755</v>
      </c>
      <c r="W863" s="34">
        <v>251</v>
      </c>
      <c r="X863" s="33">
        <v>4256</v>
      </c>
      <c r="Y863" s="33"/>
      <c r="Z863" s="33">
        <f t="shared" ref="Z863" si="4273">SUM(W858:W863)</f>
        <v>1141</v>
      </c>
      <c r="AA863" s="33">
        <f t="shared" ref="AA863" si="4274">+AA862+W863</f>
        <v>907094</v>
      </c>
      <c r="AB863" s="33"/>
      <c r="AC863" s="46">
        <f t="shared" ref="AC863" si="4275">+AA863/H863</f>
        <v>1.1626040791306047E-2</v>
      </c>
      <c r="AD863" s="33"/>
      <c r="AE863" s="33">
        <f t="shared" ref="AE863" si="4276">+AA863/BW863</f>
        <v>1062.1709601873536</v>
      </c>
      <c r="AF863" s="50"/>
      <c r="AG863" s="33"/>
      <c r="AH863" s="33"/>
      <c r="AI863" s="213"/>
      <c r="AJ863" s="50"/>
      <c r="AL863" s="23">
        <f t="shared" ref="AL863" si="4277">+AP863-AP862</f>
        <v>133637</v>
      </c>
      <c r="AM863" s="24"/>
      <c r="AN863" s="24"/>
      <c r="AO863" s="24">
        <v>178263</v>
      </c>
      <c r="AP863" s="24">
        <v>87107075</v>
      </c>
      <c r="AQ863" s="24">
        <v>20336656</v>
      </c>
      <c r="AR863" s="461">
        <f t="shared" ref="AR863" si="4278">+AL863/AP862</f>
        <v>1.5365265887270088E-3</v>
      </c>
      <c r="AS863" s="25"/>
      <c r="AT863" s="25"/>
      <c r="AU863" s="24"/>
      <c r="AV863" s="298">
        <f t="shared" ref="AV863" si="4279">+AP863/H863</f>
        <v>1.1164338063765775</v>
      </c>
      <c r="AW863" s="298"/>
      <c r="AX863" s="24">
        <f t="shared" ref="AX863" si="4280">+AP863/BW863</f>
        <v>101998.9168618267</v>
      </c>
      <c r="AY863" s="308"/>
      <c r="BA863" s="65">
        <f t="shared" ref="BA863" si="4281">+BC863-BC862</f>
        <v>615847</v>
      </c>
      <c r="BB863" s="66"/>
      <c r="BC863" s="66">
        <v>1062672363</v>
      </c>
      <c r="BD863" s="66"/>
      <c r="BE863" s="66">
        <f t="shared" ref="BE863" si="4282">+D863</f>
        <v>100711</v>
      </c>
      <c r="BF863" s="66"/>
      <c r="BG863" s="144">
        <f t="shared" ref="BG863" si="4283">+BE863/BA863</f>
        <v>0.16353250076723602</v>
      </c>
      <c r="BH863" s="66"/>
      <c r="BI863" s="170"/>
      <c r="BJ863" s="66"/>
      <c r="BK863" s="66"/>
      <c r="BL863" s="66"/>
      <c r="BM863" s="144"/>
      <c r="BN863" s="65">
        <f t="shared" ref="BN863" si="4284">+BC863/BW863</f>
        <v>1244347.0292740047</v>
      </c>
      <c r="BO863" s="66"/>
      <c r="BP863" s="66">
        <f t="shared" ref="BP863" si="4285">+BP862+BE863</f>
        <v>77115628</v>
      </c>
      <c r="BQ863" s="66"/>
      <c r="BR863" s="435">
        <f t="shared" ref="BR863" si="4286">+BP863/BC863</f>
        <v>7.2567642375018643E-2</v>
      </c>
      <c r="BS863" s="66"/>
      <c r="BT863" s="75"/>
      <c r="BU863" s="170"/>
      <c r="BV863" s="1"/>
      <c r="BW863" s="61">
        <f t="shared" si="1544"/>
        <v>854</v>
      </c>
      <c r="BY863" s="59"/>
    </row>
    <row r="864" spans="2:77" x14ac:dyDescent="0.45">
      <c r="B864" s="158">
        <f t="shared" si="3706"/>
        <v>44764</v>
      </c>
      <c r="C864" s="61"/>
      <c r="D864" s="17">
        <v>106465</v>
      </c>
      <c r="E864" s="16"/>
      <c r="F864" s="16"/>
      <c r="G864" s="16"/>
      <c r="H864" s="16">
        <f t="shared" ref="H864" si="4287">+H863+D864</f>
        <v>78129071</v>
      </c>
      <c r="I864" s="16"/>
      <c r="J864" s="436">
        <f t="shared" ref="J864" si="4288">+D864/H863</f>
        <v>1.364540425629977E-3</v>
      </c>
      <c r="K864" s="16"/>
      <c r="L864" s="16"/>
      <c r="M864" s="16"/>
      <c r="N864" s="16">
        <f t="shared" ref="N864" si="4289">SUM(D858:D864)</f>
        <v>506098</v>
      </c>
      <c r="O864" s="16">
        <f t="shared" ref="O864" si="4290">+H864/BW864</f>
        <v>91379.030409356725</v>
      </c>
      <c r="P864" s="41"/>
      <c r="Q864" s="17">
        <f t="shared" ref="Q864" si="4291">SUM(D858:D864)</f>
        <v>506098</v>
      </c>
      <c r="R864" s="16"/>
      <c r="S864" s="60">
        <f t="shared" ref="S864" si="4292">+(Q864-Q857)/Q857</f>
        <v>6.2279673298628073E-4</v>
      </c>
      <c r="T864" s="16"/>
      <c r="U864" s="41"/>
      <c r="V864" s="10">
        <f t="shared" si="558"/>
        <v>756</v>
      </c>
      <c r="W864" s="34">
        <v>321</v>
      </c>
      <c r="X864" s="33">
        <v>4256</v>
      </c>
      <c r="Y864" s="33"/>
      <c r="Z864" s="33">
        <f t="shared" ref="Z864" si="4293">SUM(W859:W864)</f>
        <v>1408</v>
      </c>
      <c r="AA864" s="33">
        <f t="shared" ref="AA864" si="4294">+AA863+W864</f>
        <v>907415</v>
      </c>
      <c r="AB864" s="33"/>
      <c r="AC864" s="46">
        <f t="shared" ref="AC864" si="4295">+AA864/H864</f>
        <v>1.1614306792410215E-2</v>
      </c>
      <c r="AD864" s="33"/>
      <c r="AE864" s="33">
        <f t="shared" ref="AE864" si="4296">+AA864/BW864</f>
        <v>1061.3040935672514</v>
      </c>
      <c r="AF864" s="50"/>
      <c r="AG864" s="33"/>
      <c r="AH864" s="33"/>
      <c r="AI864" s="213"/>
      <c r="AJ864" s="50"/>
      <c r="AL864" s="23">
        <f t="shared" ref="AL864" si="4297">+AP864-AP863</f>
        <v>113911</v>
      </c>
      <c r="AM864" s="24"/>
      <c r="AN864" s="24"/>
      <c r="AO864" s="24">
        <v>178263</v>
      </c>
      <c r="AP864" s="24">
        <v>87220986</v>
      </c>
      <c r="AQ864" s="24">
        <v>20336656</v>
      </c>
      <c r="AR864" s="461">
        <f t="shared" ref="AR864" si="4298">+AL864/AP863</f>
        <v>1.307712375831699E-3</v>
      </c>
      <c r="AS864" s="25"/>
      <c r="AT864" s="25"/>
      <c r="AU864" s="24"/>
      <c r="AV864" s="298">
        <f t="shared" ref="AV864" si="4299">+AP864/H864</f>
        <v>1.1163704480755954</v>
      </c>
      <c r="AW864" s="298"/>
      <c r="AX864" s="24">
        <f t="shared" ref="AX864" si="4300">+AP864/BW864</f>
        <v>102012.84912280702</v>
      </c>
      <c r="AY864" s="308"/>
      <c r="BA864" s="65">
        <f t="shared" ref="BA864" si="4301">+BC864-BC863</f>
        <v>2341512</v>
      </c>
      <c r="BB864" s="66"/>
      <c r="BC864" s="66">
        <v>1065013875</v>
      </c>
      <c r="BD864" s="66"/>
      <c r="BE864" s="66">
        <f t="shared" ref="BE864" si="4302">+D864</f>
        <v>106465</v>
      </c>
      <c r="BF864" s="66"/>
      <c r="BG864" s="144">
        <f t="shared" ref="BG864" si="4303">+BE864/BA864</f>
        <v>4.5468483612298376E-2</v>
      </c>
      <c r="BH864" s="66"/>
      <c r="BI864" s="170"/>
      <c r="BJ864" s="66"/>
      <c r="BK864" s="66"/>
      <c r="BL864" s="66"/>
      <c r="BM864" s="144"/>
      <c r="BN864" s="65">
        <f t="shared" ref="BN864" si="4304">+BC864/BW864</f>
        <v>1245630.2631578948</v>
      </c>
      <c r="BO864" s="66"/>
      <c r="BP864" s="66">
        <f t="shared" ref="BP864" si="4305">+BP863+BE864</f>
        <v>77222093</v>
      </c>
      <c r="BQ864" s="66"/>
      <c r="BR864" s="435">
        <f t="shared" ref="BR864" si="4306">+BP864/BC864</f>
        <v>7.2508062864439213E-2</v>
      </c>
      <c r="BS864" s="66"/>
      <c r="BT864" s="75"/>
      <c r="BU864" s="170"/>
      <c r="BV864" s="1"/>
      <c r="BW864" s="61">
        <f t="shared" si="1544"/>
        <v>855</v>
      </c>
      <c r="BY864" s="59"/>
    </row>
    <row r="865" spans="2:77" x14ac:dyDescent="0.45">
      <c r="B865" s="158">
        <f t="shared" si="3706"/>
        <v>44765</v>
      </c>
      <c r="C865" s="61"/>
      <c r="D865" s="17">
        <v>26497</v>
      </c>
      <c r="E865" s="16"/>
      <c r="F865" s="16"/>
      <c r="G865" s="16"/>
      <c r="H865" s="16">
        <f t="shared" ref="H865" si="4307">+H864+D865</f>
        <v>78155568</v>
      </c>
      <c r="I865" s="16"/>
      <c r="J865" s="436">
        <f t="shared" ref="J865" si="4308">+D865/H864</f>
        <v>3.391439276169046E-4</v>
      </c>
      <c r="K865" s="16"/>
      <c r="L865" s="16"/>
      <c r="M865" s="16"/>
      <c r="N865" s="16">
        <f t="shared" ref="N865" si="4309">SUM(D859:D865)</f>
        <v>505592</v>
      </c>
      <c r="O865" s="16">
        <f t="shared" ref="O865" si="4310">+H865/BW865</f>
        <v>91303.233644859807</v>
      </c>
      <c r="P865" s="41"/>
      <c r="Q865" s="17">
        <f t="shared" ref="Q865" si="4311">SUM(D859:D865)</f>
        <v>505592</v>
      </c>
      <c r="R865" s="16"/>
      <c r="S865" s="60">
        <f t="shared" ref="S865" si="4312">+(Q865-Q858)/Q858</f>
        <v>7.8138704173244672E-3</v>
      </c>
      <c r="T865" s="16"/>
      <c r="U865" s="41"/>
      <c r="V865" s="10">
        <f t="shared" si="558"/>
        <v>757</v>
      </c>
      <c r="W865" s="34">
        <v>67</v>
      </c>
      <c r="X865" s="33">
        <v>4256</v>
      </c>
      <c r="Y865" s="33"/>
      <c r="Z865" s="33">
        <f t="shared" ref="Z865" si="4313">SUM(W860:W865)</f>
        <v>1454</v>
      </c>
      <c r="AA865" s="33">
        <f t="shared" ref="AA865" si="4314">+AA864+W865</f>
        <v>907482</v>
      </c>
      <c r="AB865" s="33"/>
      <c r="AC865" s="46">
        <f t="shared" ref="AC865" si="4315">+AA865/H865</f>
        <v>1.161122647077429E-2</v>
      </c>
      <c r="AD865" s="33"/>
      <c r="AE865" s="33">
        <f t="shared" ref="AE865" si="4316">+AA865/BW865</f>
        <v>1060.1425233644859</v>
      </c>
      <c r="AF865" s="50"/>
      <c r="AG865" s="33"/>
      <c r="AH865" s="33"/>
      <c r="AI865" s="213"/>
      <c r="AJ865" s="50"/>
      <c r="AL865" s="23">
        <f t="shared" ref="AL865" si="4317">+AP865-AP864</f>
        <v>107336</v>
      </c>
      <c r="AM865" s="24"/>
      <c r="AN865" s="24"/>
      <c r="AO865" s="24">
        <v>178263</v>
      </c>
      <c r="AP865" s="24">
        <v>87328322</v>
      </c>
      <c r="AQ865" s="24">
        <v>20336656</v>
      </c>
      <c r="AR865" s="461">
        <f t="shared" ref="AR865" si="4318">+AL865/AP864</f>
        <v>1.2306212635569151E-3</v>
      </c>
      <c r="AS865" s="25"/>
      <c r="AT865" s="25"/>
      <c r="AU865" s="24"/>
      <c r="AV865" s="298">
        <f t="shared" ref="AV865" si="4319">+AP865/H865</f>
        <v>1.1173653296205333</v>
      </c>
      <c r="AW865" s="298"/>
      <c r="AX865" s="24">
        <f t="shared" ref="AX865" si="4320">+AP865/BW865</f>
        <v>102019.06775700934</v>
      </c>
      <c r="AY865" s="308"/>
      <c r="BA865" s="65">
        <f t="shared" ref="BA865" si="4321">+BC865-BC864</f>
        <v>153347</v>
      </c>
      <c r="BB865" s="66"/>
      <c r="BC865" s="66">
        <v>1065167222</v>
      </c>
      <c r="BD865" s="66"/>
      <c r="BE865" s="66">
        <f t="shared" ref="BE865" si="4322">+D865</f>
        <v>26497</v>
      </c>
      <c r="BF865" s="66"/>
      <c r="BG865" s="144">
        <f t="shared" ref="BG865" si="4323">+BE865/BA865</f>
        <v>0.17279112079140771</v>
      </c>
      <c r="BH865" s="66"/>
      <c r="BI865" s="170"/>
      <c r="BJ865" s="66"/>
      <c r="BK865" s="66"/>
      <c r="BL865" s="66"/>
      <c r="BM865" s="144"/>
      <c r="BN865" s="65">
        <f t="shared" ref="BN865" si="4324">+BC865/BW865</f>
        <v>1244354.2313084111</v>
      </c>
      <c r="BO865" s="66"/>
      <c r="BP865" s="66">
        <f t="shared" ref="BP865" si="4325">+BP864+BE865</f>
        <v>77248590</v>
      </c>
      <c r="BQ865" s="66"/>
      <c r="BR865" s="435">
        <f t="shared" ref="BR865" si="4326">+BP865/BC865</f>
        <v>7.2522500133786499E-2</v>
      </c>
      <c r="BS865" s="66"/>
      <c r="BT865" s="75"/>
      <c r="BU865" s="170"/>
      <c r="BV865" s="1"/>
      <c r="BW865" s="61">
        <f t="shared" si="1544"/>
        <v>856</v>
      </c>
      <c r="BY865" s="59"/>
    </row>
    <row r="866" spans="2:77" x14ac:dyDescent="0.45">
      <c r="B866" s="347">
        <f t="shared" si="3706"/>
        <v>44766</v>
      </c>
      <c r="C866" s="61"/>
      <c r="D866" s="17">
        <v>22556</v>
      </c>
      <c r="E866" s="16"/>
      <c r="F866" s="16"/>
      <c r="G866" s="16"/>
      <c r="H866" s="16">
        <f t="shared" ref="H866" si="4327">+H865+D866</f>
        <v>78178124</v>
      </c>
      <c r="I866" s="16"/>
      <c r="J866" s="436">
        <f t="shared" ref="J866" si="4328">+D866/H865</f>
        <v>2.8860387784527392E-4</v>
      </c>
      <c r="K866" s="16"/>
      <c r="L866" s="16"/>
      <c r="M866" s="16"/>
      <c r="N866" s="16">
        <f t="shared" ref="N866" si="4329">SUM(D860:D866)</f>
        <v>503391</v>
      </c>
      <c r="O866" s="16">
        <f t="shared" ref="O866" si="4330">+H866/BW866</f>
        <v>91223.01516919487</v>
      </c>
      <c r="P866" s="41"/>
      <c r="Q866" s="17">
        <f t="shared" ref="Q866" si="4331">SUM(D860:D866)</f>
        <v>503391</v>
      </c>
      <c r="R866" s="16"/>
      <c r="S866" s="60">
        <f t="shared" ref="S866" si="4332">+(Q866-Q859)/Q859</f>
        <v>1.793070508865848E-3</v>
      </c>
      <c r="T866" s="16"/>
      <c r="U866" s="41"/>
      <c r="V866" s="10">
        <f t="shared" si="558"/>
        <v>758</v>
      </c>
      <c r="W866" s="34">
        <v>17</v>
      </c>
      <c r="X866" s="33">
        <v>4256</v>
      </c>
      <c r="Y866" s="33"/>
      <c r="Z866" s="33">
        <f t="shared" ref="Z866" si="4333">SUM(W861:W866)</f>
        <v>1322</v>
      </c>
      <c r="AA866" s="33">
        <f t="shared" ref="AA866" si="4334">+AA865+W866</f>
        <v>907499</v>
      </c>
      <c r="AB866" s="33"/>
      <c r="AC866" s="46">
        <f t="shared" ref="AC866" si="4335">+AA866/H866</f>
        <v>1.1608093844769159E-2</v>
      </c>
      <c r="AD866" s="33"/>
      <c r="AE866" s="33">
        <f t="shared" ref="AE866" si="4336">+AA866/BW866</f>
        <v>1058.9253208868145</v>
      </c>
      <c r="AF866" s="50"/>
      <c r="AG866" s="33"/>
      <c r="AH866" s="33"/>
      <c r="AI866" s="213"/>
      <c r="AJ866" s="50"/>
      <c r="AL866" s="23">
        <f t="shared" ref="AL866" si="4337">+AP866-AP865</f>
        <v>103862</v>
      </c>
      <c r="AM866" s="24"/>
      <c r="AN866" s="24"/>
      <c r="AO866" s="24">
        <v>178263</v>
      </c>
      <c r="AP866" s="24">
        <v>87432184</v>
      </c>
      <c r="AQ866" s="24">
        <v>20336656</v>
      </c>
      <c r="AR866" s="461">
        <f t="shared" ref="AR866" si="4338">+AL866/AP865</f>
        <v>1.1893277876105302E-3</v>
      </c>
      <c r="AS866" s="25"/>
      <c r="AT866" s="25"/>
      <c r="AU866" s="24"/>
      <c r="AV866" s="298">
        <f t="shared" ref="AV866" si="4339">+AP866/H866</f>
        <v>1.1183714769108555</v>
      </c>
      <c r="AW866" s="298"/>
      <c r="AX866" s="24">
        <f t="shared" ref="AX866" si="4340">+AP866/BW866</f>
        <v>102021.21820303384</v>
      </c>
      <c r="AY866" s="308"/>
      <c r="BA866" s="65">
        <f t="shared" ref="BA866" si="4341">+BC866-BC865</f>
        <v>139303</v>
      </c>
      <c r="BB866" s="66"/>
      <c r="BC866" s="66">
        <v>1065306525</v>
      </c>
      <c r="BD866" s="66"/>
      <c r="BE866" s="66">
        <f t="shared" ref="BE866" si="4342">+D866</f>
        <v>22556</v>
      </c>
      <c r="BF866" s="66"/>
      <c r="BG866" s="144">
        <f t="shared" ref="BG866" si="4343">+BE866/BA866</f>
        <v>0.16192041808144836</v>
      </c>
      <c r="BH866" s="66"/>
      <c r="BI866" s="170"/>
      <c r="BJ866" s="66"/>
      <c r="BK866" s="66"/>
      <c r="BL866" s="66"/>
      <c r="BM866" s="144"/>
      <c r="BN866" s="65">
        <f t="shared" ref="BN866" si="4344">+BC866/BW866</f>
        <v>1243064.7899649942</v>
      </c>
      <c r="BO866" s="66"/>
      <c r="BP866" s="66">
        <f t="shared" ref="BP866" si="4345">+BP865+BE866</f>
        <v>77271146</v>
      </c>
      <c r="BQ866" s="66"/>
      <c r="BR866" s="435">
        <f t="shared" ref="BR866" si="4346">+BP866/BC866</f>
        <v>7.253419010082568E-2</v>
      </c>
      <c r="BS866" s="66"/>
      <c r="BT866" s="75"/>
      <c r="BU866" s="170"/>
      <c r="BV866" s="1"/>
      <c r="BW866" s="61">
        <f t="shared" si="1544"/>
        <v>857</v>
      </c>
      <c r="BY866" s="59"/>
    </row>
    <row r="867" spans="2:77" x14ac:dyDescent="0.45">
      <c r="B867" s="158">
        <f t="shared" si="3706"/>
        <v>44767</v>
      </c>
      <c r="C867" s="61"/>
      <c r="D867" s="17">
        <v>68290</v>
      </c>
      <c r="E867" s="16"/>
      <c r="F867" s="16"/>
      <c r="G867" s="16"/>
      <c r="H867" s="16">
        <f t="shared" ref="H867" si="4347">+H866+D867</f>
        <v>78246414</v>
      </c>
      <c r="I867" s="16"/>
      <c r="J867" s="436">
        <f t="shared" ref="J867" si="4348">+D867/H866</f>
        <v>8.7351801892815949E-4</v>
      </c>
      <c r="K867" s="16"/>
      <c r="L867" s="16"/>
      <c r="M867" s="16"/>
      <c r="N867" s="16">
        <f t="shared" ref="N867" si="4349">SUM(D861:D867)</f>
        <v>513504</v>
      </c>
      <c r="O867" s="16">
        <f t="shared" ref="O867" si="4350">+H867/BW867</f>
        <v>91196.28671328671</v>
      </c>
      <c r="P867" s="41"/>
      <c r="Q867" s="17">
        <f t="shared" ref="Q867" si="4351">SUM(D861:D867)</f>
        <v>513504</v>
      </c>
      <c r="R867" s="16"/>
      <c r="S867" s="60">
        <f t="shared" ref="S867" si="4352">+(Q867-Q860)/Q860</f>
        <v>2.1498039574534958E-2</v>
      </c>
      <c r="T867" s="16"/>
      <c r="U867" s="41"/>
      <c r="V867" s="10">
        <f t="shared" si="558"/>
        <v>759</v>
      </c>
      <c r="W867" s="34">
        <v>203</v>
      </c>
      <c r="X867" s="33">
        <v>4256</v>
      </c>
      <c r="Y867" s="33"/>
      <c r="Z867" s="33">
        <f t="shared" ref="Z867" si="4353">SUM(W862:W867)</f>
        <v>1226</v>
      </c>
      <c r="AA867" s="33">
        <f t="shared" ref="AA867" si="4354">+AA866+W867</f>
        <v>907702</v>
      </c>
      <c r="AB867" s="33"/>
      <c r="AC867" s="46">
        <f t="shared" ref="AC867" si="4355">+AA867/H867</f>
        <v>1.1600557183361783E-2</v>
      </c>
      <c r="AD867" s="33"/>
      <c r="AE867" s="33">
        <f t="shared" ref="AE867" si="4356">+AA867/BW867</f>
        <v>1057.927738927739</v>
      </c>
      <c r="AF867" s="50"/>
      <c r="AG867" s="33"/>
      <c r="AH867" s="33"/>
      <c r="AI867" s="213"/>
      <c r="AJ867" s="50"/>
      <c r="AL867" s="23">
        <f t="shared" ref="AL867" si="4357">+AP867-AP866</f>
        <v>117431</v>
      </c>
      <c r="AM867" s="24"/>
      <c r="AN867" s="24"/>
      <c r="AO867" s="24">
        <v>178263</v>
      </c>
      <c r="AP867" s="24">
        <v>87549615</v>
      </c>
      <c r="AQ867" s="24">
        <v>20336656</v>
      </c>
      <c r="AR867" s="461">
        <f t="shared" ref="AR867" si="4358">+AL867/AP866</f>
        <v>1.3431095350426108E-3</v>
      </c>
      <c r="AS867" s="25"/>
      <c r="AT867" s="25"/>
      <c r="AU867" s="24"/>
      <c r="AV867" s="298">
        <f t="shared" ref="AV867" si="4359">+AP867/H867</f>
        <v>1.1188961963164217</v>
      </c>
      <c r="AW867" s="298"/>
      <c r="AX867" s="24">
        <f t="shared" ref="AX867" si="4360">+AP867/BW867</f>
        <v>102039.17832167832</v>
      </c>
      <c r="AY867" s="308"/>
      <c r="BA867" s="65">
        <f t="shared" ref="BA867" si="4361">+BC867-BC866</f>
        <v>459122</v>
      </c>
      <c r="BB867" s="66"/>
      <c r="BC867" s="66">
        <v>1065765647</v>
      </c>
      <c r="BD867" s="66"/>
      <c r="BE867" s="66">
        <f t="shared" ref="BE867" si="4362">+D867</f>
        <v>68290</v>
      </c>
      <c r="BF867" s="66"/>
      <c r="BG867" s="144">
        <f t="shared" ref="BG867" si="4363">+BE867/BA867</f>
        <v>0.14874042193578177</v>
      </c>
      <c r="BH867" s="66"/>
      <c r="BI867" s="170"/>
      <c r="BJ867" s="66"/>
      <c r="BK867" s="66"/>
      <c r="BL867" s="66"/>
      <c r="BM867" s="144"/>
      <c r="BN867" s="65">
        <f t="shared" ref="BN867" si="4364">+BC867/BW867</f>
        <v>1242151.1037296038</v>
      </c>
      <c r="BO867" s="66"/>
      <c r="BP867" s="66">
        <f t="shared" ref="BP867" si="4365">+BP866+BE867</f>
        <v>77339436</v>
      </c>
      <c r="BQ867" s="66"/>
      <c r="BR867" s="435">
        <f t="shared" ref="BR867" si="4366">+BP867/BC867</f>
        <v>7.2567019041851324E-2</v>
      </c>
      <c r="BS867" s="66"/>
      <c r="BT867" s="75"/>
      <c r="BU867" s="170"/>
      <c r="BV867" s="1"/>
      <c r="BW867" s="61">
        <f t="shared" si="1544"/>
        <v>858</v>
      </c>
      <c r="BY867" s="59"/>
    </row>
    <row r="868" spans="2:77" x14ac:dyDescent="0.45">
      <c r="B868" s="158">
        <f t="shared" si="3706"/>
        <v>44768</v>
      </c>
      <c r="C868" s="61"/>
      <c r="D868" s="17">
        <v>88011</v>
      </c>
      <c r="E868" s="16"/>
      <c r="F868" s="16"/>
      <c r="G868" s="16"/>
      <c r="H868" s="16">
        <f t="shared" ref="H868" si="4367">+H867+D868</f>
        <v>78334425</v>
      </c>
      <c r="I868" s="16"/>
      <c r="J868" s="436">
        <f t="shared" ref="J868" si="4368">+D868/H867</f>
        <v>1.1247927604707865E-3</v>
      </c>
      <c r="K868" s="16"/>
      <c r="L868" s="16"/>
      <c r="M868" s="16"/>
      <c r="N868" s="16">
        <f t="shared" ref="N868" si="4369">SUM(D862:D868)</f>
        <v>526118</v>
      </c>
      <c r="O868" s="16">
        <f t="shared" ref="O868" si="4370">+H868/BW868</f>
        <v>91192.578579743888</v>
      </c>
      <c r="P868" s="41"/>
      <c r="Q868" s="17">
        <f t="shared" ref="Q868" si="4371">SUM(D862:D868)</f>
        <v>526118</v>
      </c>
      <c r="R868" s="16"/>
      <c r="S868" s="60">
        <f t="shared" ref="S868" si="4372">+(Q868-Q861)/Q861</f>
        <v>8.9830803393875114E-2</v>
      </c>
      <c r="T868" s="16"/>
      <c r="U868" s="41"/>
      <c r="V868" s="10">
        <f t="shared" si="558"/>
        <v>760</v>
      </c>
      <c r="W868" s="34">
        <v>301</v>
      </c>
      <c r="X868" s="33">
        <v>4256</v>
      </c>
      <c r="Y868" s="33"/>
      <c r="Z868" s="33">
        <f t="shared" ref="Z868" si="4373">SUM(W863:W868)</f>
        <v>1160</v>
      </c>
      <c r="AA868" s="33">
        <f t="shared" ref="AA868" si="4374">+AA867+W868</f>
        <v>908003</v>
      </c>
      <c r="AB868" s="33"/>
      <c r="AC868" s="46">
        <f t="shared" ref="AC868" si="4375">+AA868/H868</f>
        <v>1.1591366120323217E-2</v>
      </c>
      <c r="AD868" s="33"/>
      <c r="AE868" s="33">
        <f t="shared" ref="AE868" si="4376">+AA868/BW868</f>
        <v>1057.0465657741561</v>
      </c>
      <c r="AF868" s="50"/>
      <c r="AG868" s="33"/>
      <c r="AH868" s="33"/>
      <c r="AI868" s="213"/>
      <c r="AJ868" s="50"/>
      <c r="AL868" s="23">
        <f t="shared" ref="AL868" si="4377">+AP868-AP867</f>
        <v>99223</v>
      </c>
      <c r="AM868" s="24"/>
      <c r="AN868" s="24"/>
      <c r="AO868" s="24">
        <v>178263</v>
      </c>
      <c r="AP868" s="24">
        <v>87648838</v>
      </c>
      <c r="AQ868" s="24">
        <v>20336656</v>
      </c>
      <c r="AR868" s="461">
        <f t="shared" ref="AR868" si="4378">+AL868/AP867</f>
        <v>1.1333345098090951E-3</v>
      </c>
      <c r="AS868" s="25"/>
      <c r="AT868" s="25"/>
      <c r="AU868" s="24"/>
      <c r="AV868" s="298">
        <f t="shared" ref="AV868" si="4379">+AP868/H868</f>
        <v>1.1189057429093276</v>
      </c>
      <c r="AW868" s="298"/>
      <c r="AX868" s="24">
        <f t="shared" ref="AX868" si="4380">+AP868/BW868</f>
        <v>102035.89988358556</v>
      </c>
      <c r="AY868" s="308"/>
      <c r="BA868" s="65">
        <f t="shared" ref="BA868" si="4381">+BC868-BC867</f>
        <v>360050</v>
      </c>
      <c r="BB868" s="66"/>
      <c r="BC868" s="66">
        <v>1066125697</v>
      </c>
      <c r="BD868" s="66"/>
      <c r="BE868" s="66">
        <f t="shared" ref="BE868" si="4382">+D868</f>
        <v>88011</v>
      </c>
      <c r="BF868" s="66"/>
      <c r="BG868" s="144">
        <f t="shared" ref="BG868" si="4383">+BE868/BA868</f>
        <v>0.24444104985418691</v>
      </c>
      <c r="BH868" s="66"/>
      <c r="BI868" s="170"/>
      <c r="BJ868" s="66"/>
      <c r="BK868" s="66"/>
      <c r="BL868" s="66"/>
      <c r="BM868" s="144"/>
      <c r="BN868" s="65">
        <f t="shared" ref="BN868" si="4384">+BC868/BW868</f>
        <v>1241124.2107101281</v>
      </c>
      <c r="BO868" s="66"/>
      <c r="BP868" s="66">
        <f t="shared" ref="BP868" si="4385">+BP867+BE868</f>
        <v>77427447</v>
      </c>
      <c r="BQ868" s="66"/>
      <c r="BR868" s="435">
        <f t="shared" ref="BR868" si="4386">+BP868/BC868</f>
        <v>7.2625064021883345E-2</v>
      </c>
      <c r="BS868" s="66"/>
      <c r="BT868" s="75"/>
      <c r="BU868" s="170"/>
      <c r="BV868" s="1"/>
      <c r="BW868" s="61">
        <f t="shared" si="1544"/>
        <v>859</v>
      </c>
      <c r="BY868" s="59"/>
    </row>
    <row r="869" spans="2:77" x14ac:dyDescent="0.45">
      <c r="B869" s="158">
        <f t="shared" si="3706"/>
        <v>44769</v>
      </c>
      <c r="C869" s="61"/>
      <c r="D869" s="17">
        <v>114116</v>
      </c>
      <c r="E869" s="16"/>
      <c r="F869" s="16"/>
      <c r="G869" s="16"/>
      <c r="H869" s="16">
        <f t="shared" ref="H869" si="4387">+H868+D869</f>
        <v>78448541</v>
      </c>
      <c r="I869" s="16"/>
      <c r="J869" s="436">
        <f t="shared" ref="J869" si="4388">+D869/H868</f>
        <v>1.4567796980701651E-3</v>
      </c>
      <c r="K869" s="16"/>
      <c r="L869" s="16"/>
      <c r="M869" s="16"/>
      <c r="N869" s="16">
        <f t="shared" ref="N869" si="4389">SUM(D863:D869)</f>
        <v>526646</v>
      </c>
      <c r="O869" s="16">
        <f t="shared" ref="O869" si="4390">+H869/BW869</f>
        <v>91219.233720930235</v>
      </c>
      <c r="P869" s="41"/>
      <c r="Q869" s="17">
        <f t="shared" ref="Q869" si="4391">SUM(D863:D869)</f>
        <v>526646</v>
      </c>
      <c r="R869" s="16"/>
      <c r="S869" s="60">
        <f t="shared" ref="S869" si="4392">+(Q869-Q862)/Q862</f>
        <v>7.8399292323884678E-2</v>
      </c>
      <c r="T869" s="16"/>
      <c r="U869" s="41"/>
      <c r="V869" s="10">
        <f t="shared" si="558"/>
        <v>761</v>
      </c>
      <c r="W869" s="34">
        <v>397</v>
      </c>
      <c r="X869" s="33">
        <v>4256</v>
      </c>
      <c r="Y869" s="33"/>
      <c r="Z869" s="33">
        <f t="shared" ref="Z869" si="4393">SUM(W864:W869)</f>
        <v>1306</v>
      </c>
      <c r="AA869" s="33">
        <f t="shared" ref="AA869" si="4394">+AA868+W869</f>
        <v>908400</v>
      </c>
      <c r="AB869" s="33"/>
      <c r="AC869" s="46">
        <f t="shared" ref="AC869" si="4395">+AA869/H869</f>
        <v>1.1579565259218778E-2</v>
      </c>
      <c r="AD869" s="33"/>
      <c r="AE869" s="33">
        <f t="shared" ref="AE869" si="4396">+AA869/BW869</f>
        <v>1056.2790697674418</v>
      </c>
      <c r="AF869" s="50"/>
      <c r="AG869" s="33"/>
      <c r="AH869" s="33"/>
      <c r="AI869" s="213"/>
      <c r="AJ869" s="50"/>
      <c r="AL869" s="23">
        <f t="shared" ref="AL869" si="4397">+AP869-AP868</f>
        <v>123326</v>
      </c>
      <c r="AM869" s="24"/>
      <c r="AN869" s="24"/>
      <c r="AO869" s="24">
        <v>178263</v>
      </c>
      <c r="AP869" s="24">
        <v>87772164</v>
      </c>
      <c r="AQ869" s="24">
        <v>20336656</v>
      </c>
      <c r="AR869" s="461">
        <f t="shared" ref="AR869" si="4398">+AL869/AP868</f>
        <v>1.4070466056834662E-3</v>
      </c>
      <c r="AS869" s="25"/>
      <c r="AT869" s="25"/>
      <c r="AU869" s="24"/>
      <c r="AV869" s="298">
        <f t="shared" ref="AV869" si="4399">+AP869/H869</f>
        <v>1.1188501772136208</v>
      </c>
      <c r="AW869" s="298"/>
      <c r="AX869" s="24">
        <f t="shared" ref="AX869" si="4400">+AP869/BW869</f>
        <v>102060.65581395349</v>
      </c>
      <c r="AY869" s="308"/>
      <c r="BA869" s="65">
        <f t="shared" ref="BA869" si="4401">+BC869-BC868</f>
        <v>808834</v>
      </c>
      <c r="BB869" s="66"/>
      <c r="BC869" s="66">
        <v>1066934531</v>
      </c>
      <c r="BD869" s="66"/>
      <c r="BE869" s="66">
        <f t="shared" ref="BE869" si="4402">+D869</f>
        <v>114116</v>
      </c>
      <c r="BF869" s="66"/>
      <c r="BG869" s="144">
        <f t="shared" ref="BG869" si="4403">+BE869/BA869</f>
        <v>0.14108704629132801</v>
      </c>
      <c r="BH869" s="66"/>
      <c r="BI869" s="170"/>
      <c r="BJ869" s="66"/>
      <c r="BK869" s="66"/>
      <c r="BL869" s="66"/>
      <c r="BM869" s="144"/>
      <c r="BN869" s="65">
        <f t="shared" ref="BN869" si="4404">+BC869/BW869</f>
        <v>1240621.5476744187</v>
      </c>
      <c r="BO869" s="66"/>
      <c r="BP869" s="66">
        <f t="shared" ref="BP869" si="4405">+BP868+BE869</f>
        <v>77541563</v>
      </c>
      <c r="BQ869" s="66"/>
      <c r="BR869" s="435">
        <f t="shared" ref="BR869" si="4406">+BP869/BC869</f>
        <v>7.2676964468778638E-2</v>
      </c>
      <c r="BS869" s="66"/>
      <c r="BT869" s="75"/>
      <c r="BU869" s="170"/>
      <c r="BV869" s="1"/>
      <c r="BW869" s="61">
        <f t="shared" si="1544"/>
        <v>860</v>
      </c>
      <c r="BY869" s="59"/>
    </row>
    <row r="870" spans="2:77" x14ac:dyDescent="0.45">
      <c r="B870" s="158">
        <f t="shared" si="3706"/>
        <v>44770</v>
      </c>
      <c r="C870" s="61"/>
      <c r="D870" s="17">
        <v>93216</v>
      </c>
      <c r="E870" s="16"/>
      <c r="F870" s="16"/>
      <c r="G870" s="16"/>
      <c r="H870" s="16">
        <f t="shared" ref="H870" si="4407">+H869+D870</f>
        <v>78541757</v>
      </c>
      <c r="I870" s="16"/>
      <c r="J870" s="436">
        <f t="shared" ref="J870" si="4408">+D870/H869</f>
        <v>1.1882438960846959E-3</v>
      </c>
      <c r="K870" s="16"/>
      <c r="L870" s="16"/>
      <c r="M870" s="16"/>
      <c r="N870" s="16">
        <f t="shared" ref="N870" si="4409">SUM(D864:D870)</f>
        <v>519151</v>
      </c>
      <c r="O870" s="16">
        <f t="shared" ref="O870" si="4410">+H870/BW870</f>
        <v>91221.552845528451</v>
      </c>
      <c r="P870" s="41"/>
      <c r="Q870" s="17">
        <f t="shared" ref="Q870" si="4411">SUM(D864:D870)</f>
        <v>519151</v>
      </c>
      <c r="R870" s="16"/>
      <c r="S870" s="60">
        <f t="shared" ref="S870" si="4412">+(Q870-Q863)/Q863</f>
        <v>5.1615451617477263E-2</v>
      </c>
      <c r="T870" s="16"/>
      <c r="U870" s="41"/>
      <c r="V870" s="10">
        <f t="shared" si="558"/>
        <v>762</v>
      </c>
      <c r="W870" s="34">
        <v>260</v>
      </c>
      <c r="X870" s="33">
        <v>4256</v>
      </c>
      <c r="Y870" s="33"/>
      <c r="Z870" s="33">
        <f t="shared" ref="Z870" si="4413">SUM(W865:W870)</f>
        <v>1245</v>
      </c>
      <c r="AA870" s="33">
        <f t="shared" ref="AA870" si="4414">+AA869+W870</f>
        <v>908660</v>
      </c>
      <c r="AB870" s="33"/>
      <c r="AC870" s="46">
        <f t="shared" ref="AC870" si="4415">+AA870/H870</f>
        <v>1.1569132582557326E-2</v>
      </c>
      <c r="AD870" s="33"/>
      <c r="AE870" s="33">
        <f t="shared" ref="AE870" si="4416">+AA870/BW870</f>
        <v>1055.3542392566783</v>
      </c>
      <c r="AF870" s="50"/>
      <c r="AG870" s="33"/>
      <c r="AH870" s="33"/>
      <c r="AI870" s="213"/>
      <c r="AJ870" s="50"/>
      <c r="AL870" s="23">
        <f t="shared" ref="AL870" si="4417">+AP870-AP869</f>
        <v>135885</v>
      </c>
      <c r="AM870" s="24"/>
      <c r="AN870" s="24"/>
      <c r="AO870" s="24">
        <v>178263</v>
      </c>
      <c r="AP870" s="24">
        <v>87908049</v>
      </c>
      <c r="AQ870" s="24">
        <v>20336656</v>
      </c>
      <c r="AR870" s="461">
        <f t="shared" ref="AR870" si="4418">+AL870/AP869</f>
        <v>1.5481559734587379E-3</v>
      </c>
      <c r="AS870" s="25"/>
      <c r="AT870" s="25"/>
      <c r="AU870" s="24"/>
      <c r="AV870" s="298">
        <f t="shared" ref="AV870" si="4419">+AP870/H870</f>
        <v>1.11925238698187</v>
      </c>
      <c r="AW870" s="298"/>
      <c r="AX870" s="24">
        <f t="shared" ref="AX870" si="4420">+AP870/BW870</f>
        <v>102099.94076655053</v>
      </c>
      <c r="AY870" s="308"/>
      <c r="BA870" s="65">
        <f t="shared" ref="BA870" si="4421">+BC870-BC869</f>
        <v>495695</v>
      </c>
      <c r="BB870" s="66"/>
      <c r="BC870" s="66">
        <v>1067430226</v>
      </c>
      <c r="BD870" s="66"/>
      <c r="BE870" s="66">
        <f t="shared" ref="BE870" si="4422">+D870</f>
        <v>93216</v>
      </c>
      <c r="BF870" s="66"/>
      <c r="BG870" s="144">
        <f t="shared" ref="BG870" si="4423">+BE870/BA870</f>
        <v>0.18805112014444367</v>
      </c>
      <c r="BH870" s="66"/>
      <c r="BI870" s="170"/>
      <c r="BJ870" s="66"/>
      <c r="BK870" s="66"/>
      <c r="BL870" s="66"/>
      <c r="BM870" s="144"/>
      <c r="BN870" s="65">
        <f t="shared" ref="BN870" si="4424">+BC870/BW870</f>
        <v>1239756.3600464575</v>
      </c>
      <c r="BO870" s="66"/>
      <c r="BP870" s="66">
        <f t="shared" ref="BP870" si="4425">+BP869+BE870</f>
        <v>77634779</v>
      </c>
      <c r="BQ870" s="66"/>
      <c r="BR870" s="435">
        <f t="shared" ref="BR870" si="4426">+BP870/BC870</f>
        <v>7.273054210851998E-2</v>
      </c>
      <c r="BS870" s="66"/>
      <c r="BT870" s="75"/>
      <c r="BU870" s="170"/>
      <c r="BV870" s="1"/>
      <c r="BW870" s="61">
        <f t="shared" si="1544"/>
        <v>861</v>
      </c>
      <c r="BY870" s="59"/>
    </row>
    <row r="871" spans="2:77" x14ac:dyDescent="0.45">
      <c r="B871" s="158">
        <f t="shared" si="3706"/>
        <v>44771</v>
      </c>
      <c r="C871" s="61"/>
      <c r="D871" s="17">
        <v>99061</v>
      </c>
      <c r="E871" s="16"/>
      <c r="F871" s="16"/>
      <c r="G871" s="16"/>
      <c r="H871" s="16">
        <f t="shared" ref="H871" si="4427">+H870+D871</f>
        <v>78640818</v>
      </c>
      <c r="I871" s="16"/>
      <c r="J871" s="436">
        <f t="shared" ref="J871" si="4428">+D871/H870</f>
        <v>1.2612526607980008E-3</v>
      </c>
      <c r="K871" s="16"/>
      <c r="L871" s="16"/>
      <c r="M871" s="16"/>
      <c r="N871" s="16">
        <f t="shared" ref="N871" si="4429">SUM(D865:D871)</f>
        <v>511747</v>
      </c>
      <c r="O871" s="16">
        <f t="shared" ref="O871" si="4430">+H871/BW871</f>
        <v>91230.647331786546</v>
      </c>
      <c r="P871" s="41"/>
      <c r="Q871" s="17">
        <f t="shared" ref="Q871" si="4431">SUM(D865:D871)</f>
        <v>511747</v>
      </c>
      <c r="R871" s="16"/>
      <c r="S871" s="60">
        <f t="shared" ref="S871" si="4432">+(Q871-Q864)/Q864</f>
        <v>1.1161869835486407E-2</v>
      </c>
      <c r="T871" s="16"/>
      <c r="U871" s="41"/>
      <c r="V871" s="10">
        <f t="shared" si="558"/>
        <v>763</v>
      </c>
      <c r="W871" s="34">
        <v>286</v>
      </c>
      <c r="X871" s="33">
        <v>4256</v>
      </c>
      <c r="Y871" s="33"/>
      <c r="Z871" s="33">
        <f t="shared" ref="Z871" si="4433">SUM(W866:W871)</f>
        <v>1464</v>
      </c>
      <c r="AA871" s="33">
        <f t="shared" ref="AA871" si="4434">+AA870+W871</f>
        <v>908946</v>
      </c>
      <c r="AB871" s="33"/>
      <c r="AC871" s="46">
        <f t="shared" ref="AC871" si="4435">+AA871/H871</f>
        <v>1.1558196152028835E-2</v>
      </c>
      <c r="AD871" s="33"/>
      <c r="AE871" s="33">
        <f t="shared" ref="AE871" si="4436">+AA871/BW871</f>
        <v>1054.461716937355</v>
      </c>
      <c r="AF871" s="50"/>
      <c r="AG871" s="33"/>
      <c r="AH871" s="33"/>
      <c r="AI871" s="213"/>
      <c r="AJ871" s="50"/>
      <c r="AL871" s="23">
        <f t="shared" ref="AL871" si="4437">+AP871-AP870</f>
        <v>103734</v>
      </c>
      <c r="AM871" s="24"/>
      <c r="AN871" s="24"/>
      <c r="AO871" s="24">
        <v>178263</v>
      </c>
      <c r="AP871" s="24">
        <v>88011783</v>
      </c>
      <c r="AQ871" s="24">
        <v>20336656</v>
      </c>
      <c r="AR871" s="461">
        <f t="shared" ref="AR871" si="4438">+AL871/AP870</f>
        <v>1.1800284636051927E-3</v>
      </c>
      <c r="AS871" s="25"/>
      <c r="AT871" s="25"/>
      <c r="AU871" s="24"/>
      <c r="AV871" s="298">
        <f t="shared" ref="AV871" si="4439">+AP871/H871</f>
        <v>1.1191615911218014</v>
      </c>
      <c r="AW871" s="298"/>
      <c r="AX871" s="24">
        <f t="shared" ref="AX871" si="4440">+AP871/BW871</f>
        <v>102101.83642691416</v>
      </c>
      <c r="AY871" s="308"/>
      <c r="BA871" s="65">
        <f t="shared" ref="BA871" si="4441">+BC871-BC870</f>
        <v>1262535</v>
      </c>
      <c r="BB871" s="66"/>
      <c r="BC871" s="66">
        <v>1068692761</v>
      </c>
      <c r="BD871" s="66"/>
      <c r="BE871" s="66">
        <f t="shared" ref="BE871" si="4442">+D871</f>
        <v>99061</v>
      </c>
      <c r="BF871" s="66"/>
      <c r="BG871" s="144">
        <f t="shared" ref="BG871" si="4443">+BE871/BA871</f>
        <v>7.8461983232148022E-2</v>
      </c>
      <c r="BH871" s="66"/>
      <c r="BI871" s="170"/>
      <c r="BJ871" s="66"/>
      <c r="BK871" s="66"/>
      <c r="BL871" s="66"/>
      <c r="BM871" s="144"/>
      <c r="BN871" s="65">
        <f t="shared" ref="BN871" si="4444">+BC871/BW871</f>
        <v>1239782.7853828305</v>
      </c>
      <c r="BO871" s="66"/>
      <c r="BP871" s="66">
        <f t="shared" ref="BP871" si="4445">+BP870+BE871</f>
        <v>77733840</v>
      </c>
      <c r="BQ871" s="66"/>
      <c r="BR871" s="435">
        <f t="shared" ref="BR871" si="4446">+BP871/BC871</f>
        <v>7.2737313133161577E-2</v>
      </c>
      <c r="BS871" s="66"/>
      <c r="BT871" s="75"/>
      <c r="BU871" s="170"/>
      <c r="BV871" s="1"/>
      <c r="BW871" s="61">
        <f t="shared" si="1544"/>
        <v>862</v>
      </c>
      <c r="BY871" s="59"/>
    </row>
    <row r="872" spans="2:77" x14ac:dyDescent="0.45">
      <c r="B872" s="158">
        <f t="shared" si="3706"/>
        <v>44772</v>
      </c>
      <c r="C872" s="61"/>
      <c r="D872" s="17">
        <v>15679</v>
      </c>
      <c r="E872" s="16"/>
      <c r="F872" s="16"/>
      <c r="G872" s="16"/>
      <c r="H872" s="16">
        <f t="shared" ref="H872" si="4447">+H871+D872</f>
        <v>78656497</v>
      </c>
      <c r="I872" s="16"/>
      <c r="J872" s="436">
        <f t="shared" ref="J872" si="4448">+D872/H871</f>
        <v>1.9937483356289605E-4</v>
      </c>
      <c r="K872" s="16"/>
      <c r="L872" s="16"/>
      <c r="M872" s="16"/>
      <c r="N872" s="16">
        <f t="shared" ref="N872" si="4449">SUM(D866:D872)</f>
        <v>500929</v>
      </c>
      <c r="O872" s="16">
        <f t="shared" ref="O872" si="4450">+H872/BW872</f>
        <v>91143.101969872543</v>
      </c>
      <c r="P872" s="41"/>
      <c r="Q872" s="17">
        <f t="shared" ref="Q872" si="4451">SUM(D866:D872)</f>
        <v>500929</v>
      </c>
      <c r="R872" s="16"/>
      <c r="S872" s="60">
        <f t="shared" ref="S872" si="4452">+(Q872-Q865)/Q865</f>
        <v>-9.222851627399168E-3</v>
      </c>
      <c r="T872" s="16"/>
      <c r="U872" s="41"/>
      <c r="V872" s="10">
        <f t="shared" si="558"/>
        <v>764</v>
      </c>
      <c r="W872" s="34">
        <v>31</v>
      </c>
      <c r="X872" s="33">
        <v>4256</v>
      </c>
      <c r="Y872" s="33"/>
      <c r="Z872" s="33">
        <f t="shared" ref="Z872" si="4453">SUM(W867:W872)</f>
        <v>1478</v>
      </c>
      <c r="AA872" s="33">
        <f t="shared" ref="AA872" si="4454">+AA871+W872</f>
        <v>908977</v>
      </c>
      <c r="AB872" s="33"/>
      <c r="AC872" s="46">
        <f t="shared" ref="AC872" si="4455">+AA872/H872</f>
        <v>1.1556286316691677E-2</v>
      </c>
      <c r="AD872" s="33"/>
      <c r="AE872" s="33">
        <f t="shared" ref="AE872" si="4456">+AA872/BW872</f>
        <v>1053.2757821552723</v>
      </c>
      <c r="AF872" s="50"/>
      <c r="AG872" s="33"/>
      <c r="AH872" s="33"/>
      <c r="AI872" s="213"/>
      <c r="AJ872" s="50"/>
      <c r="AL872" s="23">
        <f t="shared" ref="AL872" si="4457">+AP872-AP871</f>
        <v>89666</v>
      </c>
      <c r="AM872" s="24"/>
      <c r="AN872" s="24"/>
      <c r="AO872" s="24">
        <v>178263</v>
      </c>
      <c r="AP872" s="24">
        <v>88101449</v>
      </c>
      <c r="AQ872" s="24">
        <v>20336656</v>
      </c>
      <c r="AR872" s="461">
        <f t="shared" ref="AR872" si="4458">+AL872/AP871</f>
        <v>1.0187954037926945E-3</v>
      </c>
      <c r="AS872" s="25"/>
      <c r="AT872" s="25"/>
      <c r="AU872" s="24"/>
      <c r="AV872" s="298">
        <f t="shared" ref="AV872" si="4459">+AP872/H872</f>
        <v>1.1200784723479358</v>
      </c>
      <c r="AW872" s="298"/>
      <c r="AX872" s="24">
        <f t="shared" ref="AX872" si="4460">+AP872/BW872</f>
        <v>102087.42641946698</v>
      </c>
      <c r="AY872" s="308"/>
      <c r="BA872" s="65">
        <f t="shared" ref="BA872" si="4461">+BC872-BC871</f>
        <v>85351</v>
      </c>
      <c r="BB872" s="66"/>
      <c r="BC872" s="66">
        <v>1068778112</v>
      </c>
      <c r="BD872" s="66"/>
      <c r="BE872" s="66">
        <f t="shared" ref="BE872" si="4462">+D872</f>
        <v>15679</v>
      </c>
      <c r="BF872" s="66"/>
      <c r="BG872" s="144">
        <f t="shared" ref="BG872" si="4463">+BE872/BA872</f>
        <v>0.18370024955770875</v>
      </c>
      <c r="BH872" s="66"/>
      <c r="BI872" s="170"/>
      <c r="BJ872" s="66"/>
      <c r="BK872" s="66"/>
      <c r="BL872" s="66"/>
      <c r="BM872" s="144"/>
      <c r="BN872" s="65">
        <f t="shared" ref="BN872" si="4464">+BC872/BW872</f>
        <v>1238445.0892236384</v>
      </c>
      <c r="BO872" s="66"/>
      <c r="BP872" s="66">
        <f t="shared" ref="BP872" si="4465">+BP871+BE872</f>
        <v>77749519</v>
      </c>
      <c r="BQ872" s="66"/>
      <c r="BR872" s="435">
        <f t="shared" ref="BR872" si="4466">+BP872/BC872</f>
        <v>7.2746174465069882E-2</v>
      </c>
      <c r="BS872" s="66"/>
      <c r="BT872" s="75"/>
      <c r="BU872" s="170"/>
      <c r="BV872" s="1"/>
      <c r="BW872" s="61">
        <f t="shared" si="1544"/>
        <v>863</v>
      </c>
      <c r="BY872" s="59"/>
    </row>
    <row r="873" spans="2:77" x14ac:dyDescent="0.45">
      <c r="B873" s="347">
        <f t="shared" si="3706"/>
        <v>44773</v>
      </c>
      <c r="C873" s="61"/>
      <c r="D873" s="17">
        <v>12332</v>
      </c>
      <c r="E873" s="16"/>
      <c r="F873" s="16"/>
      <c r="G873" s="16"/>
      <c r="H873" s="16">
        <f t="shared" ref="H873" si="4467">+H872+D873</f>
        <v>78668829</v>
      </c>
      <c r="I873" s="16"/>
      <c r="J873" s="436">
        <f t="shared" ref="J873" si="4468">+D873/H872</f>
        <v>1.5678298005058629E-4</v>
      </c>
      <c r="K873" s="16"/>
      <c r="L873" s="16"/>
      <c r="M873" s="16"/>
      <c r="N873" s="16">
        <f t="shared" ref="N873:N880" si="4469">SUM(D867:D873)</f>
        <v>490705</v>
      </c>
      <c r="O873" s="16">
        <f t="shared" ref="O873" si="4470">+H873/BW873</f>
        <v>91051.885416666672</v>
      </c>
      <c r="P873" s="41"/>
      <c r="Q873" s="17">
        <f t="shared" ref="Q873:Q880" si="4471">SUM(D867:D873)</f>
        <v>490705</v>
      </c>
      <c r="R873" s="16"/>
      <c r="S873" s="60">
        <f t="shared" ref="S873" si="4472">+(Q873-Q866)/Q866</f>
        <v>-2.5201086233166664E-2</v>
      </c>
      <c r="T873" s="16"/>
      <c r="U873" s="41"/>
      <c r="V873" s="10">
        <f t="shared" si="558"/>
        <v>765</v>
      </c>
      <c r="W873" s="34">
        <v>8</v>
      </c>
      <c r="X873" s="33">
        <v>4256</v>
      </c>
      <c r="Y873" s="33"/>
      <c r="Z873" s="33">
        <f t="shared" ref="Z873" si="4473">SUM(W868:W873)</f>
        <v>1283</v>
      </c>
      <c r="AA873" s="33">
        <f t="shared" ref="AA873" si="4474">+AA872+W873</f>
        <v>908985</v>
      </c>
      <c r="AB873" s="33"/>
      <c r="AC873" s="46">
        <f t="shared" ref="AC873" si="4475">+AA873/H873</f>
        <v>1.1554576463824065E-2</v>
      </c>
      <c r="AD873" s="33"/>
      <c r="AE873" s="33">
        <f t="shared" ref="AE873:AE880" si="4476">+AA873/BW873</f>
        <v>1052.0659722222222</v>
      </c>
      <c r="AF873" s="50"/>
      <c r="AG873" s="33"/>
      <c r="AH873" s="33"/>
      <c r="AI873" s="213"/>
      <c r="AJ873" s="50"/>
      <c r="AL873" s="23">
        <f t="shared" ref="AL873" si="4477">+AP873-AP872</f>
        <v>113559</v>
      </c>
      <c r="AM873" s="24"/>
      <c r="AN873" s="24"/>
      <c r="AO873" s="24">
        <v>178263</v>
      </c>
      <c r="AP873" s="24">
        <v>88215008</v>
      </c>
      <c r="AQ873" s="24">
        <v>20336656</v>
      </c>
      <c r="AR873" s="461">
        <f t="shared" ref="AR873" si="4478">+AL873/AP872</f>
        <v>1.2889572338361881E-3</v>
      </c>
      <c r="AS873" s="25"/>
      <c r="AT873" s="25"/>
      <c r="AU873" s="24"/>
      <c r="AV873" s="298">
        <f t="shared" ref="AV873" si="4479">+AP873/H873</f>
        <v>1.1213463975674534</v>
      </c>
      <c r="AW873" s="298"/>
      <c r="AX873" s="24">
        <f t="shared" ref="AX873" si="4480">+AP873/BW873</f>
        <v>102100.70370370371</v>
      </c>
      <c r="AY873" s="308"/>
      <c r="BA873" s="65">
        <f t="shared" ref="BA873" si="4481">+BC873-BC872</f>
        <v>69538</v>
      </c>
      <c r="BB873" s="66"/>
      <c r="BC873" s="66">
        <v>1068847650</v>
      </c>
      <c r="BD873" s="66"/>
      <c r="BE873" s="66">
        <f t="shared" ref="BE873" si="4482">+D873</f>
        <v>12332</v>
      </c>
      <c r="BF873" s="66"/>
      <c r="BG873" s="144">
        <f t="shared" ref="BG873" si="4483">+BE873/BA873</f>
        <v>0.17734188501251114</v>
      </c>
      <c r="BH873" s="66"/>
      <c r="BI873" s="170"/>
      <c r="BJ873" s="66"/>
      <c r="BK873" s="66"/>
      <c r="BL873" s="66"/>
      <c r="BM873" s="144"/>
      <c r="BN873" s="65">
        <f t="shared" ref="BN873" si="4484">+BC873/BW873</f>
        <v>1237092.1875</v>
      </c>
      <c r="BO873" s="66"/>
      <c r="BP873" s="66">
        <f t="shared" ref="BP873" si="4485">+BP872+BE873</f>
        <v>77761851</v>
      </c>
      <c r="BQ873" s="66"/>
      <c r="BR873" s="435">
        <f t="shared" ref="BR873" si="4486">+BP873/BC873</f>
        <v>7.2752979341817334E-2</v>
      </c>
      <c r="BS873" s="66"/>
      <c r="BT873" s="75"/>
      <c r="BU873" s="170"/>
      <c r="BV873" s="1"/>
      <c r="BW873" s="61">
        <f t="shared" si="1544"/>
        <v>864</v>
      </c>
      <c r="BY873" s="59"/>
    </row>
    <row r="874" spans="2:77" x14ac:dyDescent="0.45">
      <c r="B874" s="158">
        <f t="shared" si="3706"/>
        <v>44774</v>
      </c>
      <c r="C874" s="61"/>
      <c r="D874" s="17">
        <v>54430</v>
      </c>
      <c r="E874" s="16"/>
      <c r="F874" s="16"/>
      <c r="G874" s="16"/>
      <c r="H874" s="16">
        <f t="shared" ref="H874" si="4487">+H873+D874</f>
        <v>78723259</v>
      </c>
      <c r="I874" s="16"/>
      <c r="J874" s="436">
        <f t="shared" ref="J874" si="4488">+D874/H873</f>
        <v>6.9188776154275797E-4</v>
      </c>
      <c r="K874" s="16"/>
      <c r="L874" s="16"/>
      <c r="M874" s="16"/>
      <c r="N874" s="16">
        <f t="shared" si="4469"/>
        <v>476845</v>
      </c>
      <c r="O874" s="16">
        <f t="shared" ref="O874" si="4489">+H874/BW874</f>
        <v>91009.547976878617</v>
      </c>
      <c r="P874" s="41"/>
      <c r="Q874" s="17">
        <f t="shared" si="4471"/>
        <v>476845</v>
      </c>
      <c r="R874" s="16"/>
      <c r="S874" s="60">
        <f t="shared" ref="S874" si="4490">+(Q874-Q867)/Q867</f>
        <v>-7.1389901539228515E-2</v>
      </c>
      <c r="T874" s="16"/>
      <c r="U874" s="41"/>
      <c r="V874" s="10">
        <f t="shared" si="558"/>
        <v>766</v>
      </c>
      <c r="W874" s="34">
        <v>149</v>
      </c>
      <c r="X874" s="33">
        <v>4256</v>
      </c>
      <c r="Y874" s="33"/>
      <c r="Z874" s="33">
        <f t="shared" ref="Z874" si="4491">SUM(W869:W874)</f>
        <v>1131</v>
      </c>
      <c r="AA874" s="33">
        <f t="shared" ref="AA874" si="4492">+AA873+W874</f>
        <v>909134</v>
      </c>
      <c r="AB874" s="33"/>
      <c r="AC874" s="46">
        <f t="shared" ref="AC874" si="4493">+AA874/H874</f>
        <v>1.1548480227425544E-2</v>
      </c>
      <c r="AD874" s="33"/>
      <c r="AE874" s="33">
        <f t="shared" si="4476"/>
        <v>1051.021965317919</v>
      </c>
      <c r="AF874" s="50"/>
      <c r="AG874" s="33"/>
      <c r="AH874" s="33"/>
      <c r="AI874" s="213"/>
      <c r="AJ874" s="50"/>
      <c r="AL874" s="23">
        <f t="shared" ref="AL874" si="4494">+AP874-AP873</f>
        <v>108560</v>
      </c>
      <c r="AM874" s="24"/>
      <c r="AN874" s="24"/>
      <c r="AO874" s="24">
        <v>178263</v>
      </c>
      <c r="AP874" s="24">
        <v>88323568</v>
      </c>
      <c r="AQ874" s="24">
        <v>20336656</v>
      </c>
      <c r="AR874" s="461">
        <f t="shared" ref="AR874" si="4495">+AL874/AP873</f>
        <v>1.2306295998975594E-3</v>
      </c>
      <c r="AS874" s="25"/>
      <c r="AT874" s="25"/>
      <c r="AU874" s="24"/>
      <c r="AV874" s="298">
        <f t="shared" ref="AV874" si="4496">+AP874/H874</f>
        <v>1.121950096095488</v>
      </c>
      <c r="AW874" s="298"/>
      <c r="AX874" s="24">
        <f t="shared" ref="AX874" si="4497">+AP874/BW874</f>
        <v>102108.1710982659</v>
      </c>
      <c r="AY874" s="308"/>
      <c r="BA874" s="65">
        <f t="shared" ref="BA874" si="4498">+BC874-BC873</f>
        <v>577377</v>
      </c>
      <c r="BB874" s="66"/>
      <c r="BC874" s="66">
        <v>1069425027</v>
      </c>
      <c r="BD874" s="66"/>
      <c r="BE874" s="66">
        <f t="shared" ref="BE874" si="4499">+D874</f>
        <v>54430</v>
      </c>
      <c r="BF874" s="66"/>
      <c r="BG874" s="144">
        <f t="shared" ref="BG874" si="4500">+BE874/BA874</f>
        <v>9.427116078402846E-2</v>
      </c>
      <c r="BH874" s="66"/>
      <c r="BI874" s="170"/>
      <c r="BJ874" s="66"/>
      <c r="BK874" s="66"/>
      <c r="BL874" s="66"/>
      <c r="BM874" s="144"/>
      <c r="BN874" s="65">
        <f t="shared" ref="BN874" si="4501">+BC874/BW874</f>
        <v>1236329.5109826589</v>
      </c>
      <c r="BO874" s="66"/>
      <c r="BP874" s="66">
        <f t="shared" ref="BP874" si="4502">+BP873+BE874</f>
        <v>77816281</v>
      </c>
      <c r="BQ874" s="66"/>
      <c r="BR874" s="435">
        <f t="shared" ref="BR874" si="4503">+BP874/BC874</f>
        <v>7.2764596895860748E-2</v>
      </c>
      <c r="BS874" s="66"/>
      <c r="BT874" s="75"/>
      <c r="BU874" s="170"/>
      <c r="BV874" s="1"/>
      <c r="BW874" s="61">
        <f t="shared" si="1544"/>
        <v>865</v>
      </c>
      <c r="BY874" s="59"/>
    </row>
    <row r="875" spans="2:77" x14ac:dyDescent="0.45">
      <c r="B875" s="158">
        <f t="shared" si="3706"/>
        <v>44775</v>
      </c>
      <c r="C875" s="61"/>
      <c r="D875" s="17">
        <v>61162</v>
      </c>
      <c r="E875" s="16"/>
      <c r="F875" s="16"/>
      <c r="G875" s="16"/>
      <c r="H875" s="16">
        <f t="shared" ref="H875" si="4504">+H874+D875</f>
        <v>78784421</v>
      </c>
      <c r="I875" s="16"/>
      <c r="J875" s="436">
        <f t="shared" ref="J875" si="4505">+D875/H874</f>
        <v>7.769241362327238E-4</v>
      </c>
      <c r="K875" s="16"/>
      <c r="L875" s="16"/>
      <c r="M875" s="16"/>
      <c r="N875" s="16">
        <f t="shared" si="4469"/>
        <v>449996</v>
      </c>
      <c r="O875" s="16">
        <f t="shared" ref="O875" si="4506">+H875/BW875</f>
        <v>90975.081986143181</v>
      </c>
      <c r="P875" s="41"/>
      <c r="Q875" s="17">
        <f t="shared" si="4471"/>
        <v>449996</v>
      </c>
      <c r="R875" s="16"/>
      <c r="S875" s="60">
        <f t="shared" ref="S875" si="4507">+(Q875-Q868)/Q868</f>
        <v>-0.14468617306383738</v>
      </c>
      <c r="T875" s="16"/>
      <c r="U875" s="41"/>
      <c r="V875" s="10">
        <f t="shared" si="558"/>
        <v>767</v>
      </c>
      <c r="W875" s="34">
        <v>363</v>
      </c>
      <c r="X875" s="33">
        <v>4256</v>
      </c>
      <c r="Y875" s="33"/>
      <c r="Z875" s="33">
        <f t="shared" ref="Z875" si="4508">SUM(W870:W875)</f>
        <v>1097</v>
      </c>
      <c r="AA875" s="33">
        <f t="shared" ref="AA875" si="4509">+AA874+W875</f>
        <v>909497</v>
      </c>
      <c r="AB875" s="33"/>
      <c r="AC875" s="46">
        <f t="shared" ref="AC875" si="4510">+AA875/H875</f>
        <v>1.1544122409683001E-2</v>
      </c>
      <c r="AD875" s="33"/>
      <c r="AE875" s="33">
        <f t="shared" si="4476"/>
        <v>1050.2274826789837</v>
      </c>
      <c r="AF875" s="50"/>
      <c r="AG875" s="33"/>
      <c r="AH875" s="33"/>
      <c r="AI875" s="213"/>
      <c r="AJ875" s="50"/>
      <c r="AL875" s="23">
        <f t="shared" ref="AL875" si="4511">+AP875-AP874</f>
        <v>108209</v>
      </c>
      <c r="AM875" s="24"/>
      <c r="AN875" s="24"/>
      <c r="AO875" s="24">
        <v>178263</v>
      </c>
      <c r="AP875" s="24">
        <v>88431777</v>
      </c>
      <c r="AQ875" s="24">
        <v>20336656</v>
      </c>
      <c r="AR875" s="461">
        <f t="shared" ref="AR875" si="4512">+AL875/AP874</f>
        <v>1.225142987882917E-3</v>
      </c>
      <c r="AS875" s="25"/>
      <c r="AT875" s="25"/>
      <c r="AU875" s="24"/>
      <c r="AV875" s="298">
        <f t="shared" ref="AV875" si="4513">+AP875/H875</f>
        <v>1.1224525848835012</v>
      </c>
      <c r="AW875" s="298"/>
      <c r="AX875" s="24">
        <f t="shared" ref="AX875" si="4514">+AP875/BW875</f>
        <v>102115.21593533487</v>
      </c>
      <c r="AY875" s="308"/>
      <c r="BA875" s="65">
        <f t="shared" ref="BA875" si="4515">+BC875-BC874</f>
        <v>183205</v>
      </c>
      <c r="BB875" s="66"/>
      <c r="BC875" s="66">
        <v>1069608232</v>
      </c>
      <c r="BD875" s="66"/>
      <c r="BE875" s="66">
        <f t="shared" ref="BE875" si="4516">+D875</f>
        <v>61162</v>
      </c>
      <c r="BF875" s="66"/>
      <c r="BG875" s="144">
        <f t="shared" ref="BG875" si="4517">+BE875/BA875</f>
        <v>0.33384460031112689</v>
      </c>
      <c r="BH875" s="66"/>
      <c r="BI875" s="170"/>
      <c r="BJ875" s="66"/>
      <c r="BK875" s="66"/>
      <c r="BL875" s="66"/>
      <c r="BM875" s="144"/>
      <c r="BN875" s="65">
        <f t="shared" ref="BN875" si="4518">+BC875/BW875</f>
        <v>1235113.4318706698</v>
      </c>
      <c r="BO875" s="66"/>
      <c r="BP875" s="66">
        <f t="shared" ref="BP875" si="4519">+BP874+BE875</f>
        <v>77877443</v>
      </c>
      <c r="BQ875" s="66"/>
      <c r="BR875" s="435">
        <f t="shared" ref="BR875" si="4520">+BP875/BC875</f>
        <v>7.2809315289562956E-2</v>
      </c>
      <c r="BS875" s="66"/>
      <c r="BT875" s="75"/>
      <c r="BU875" s="170"/>
      <c r="BV875" s="1"/>
      <c r="BW875" s="61">
        <f t="shared" si="1544"/>
        <v>866</v>
      </c>
      <c r="BY875" s="59"/>
    </row>
    <row r="876" spans="2:77" x14ac:dyDescent="0.45">
      <c r="B876" s="158">
        <f t="shared" si="3706"/>
        <v>44776</v>
      </c>
      <c r="C876" s="61"/>
      <c r="D876" s="17">
        <v>100653</v>
      </c>
      <c r="E876" s="16"/>
      <c r="F876" s="16"/>
      <c r="G876" s="16"/>
      <c r="H876" s="16">
        <f t="shared" ref="H876" si="4521">+H875+D876</f>
        <v>78885074</v>
      </c>
      <c r="I876" s="16"/>
      <c r="J876" s="436">
        <f t="shared" ref="J876" si="4522">+D876/H875</f>
        <v>1.2775749154772618E-3</v>
      </c>
      <c r="K876" s="16"/>
      <c r="L876" s="16"/>
      <c r="M876" s="16"/>
      <c r="N876" s="16">
        <f t="shared" si="4469"/>
        <v>436533</v>
      </c>
      <c r="O876" s="16">
        <f t="shared" ref="O876" si="4523">+H876/BW876</f>
        <v>90986.244521337954</v>
      </c>
      <c r="P876" s="41"/>
      <c r="Q876" s="17">
        <f t="shared" si="4471"/>
        <v>436533</v>
      </c>
      <c r="R876" s="16"/>
      <c r="S876" s="60">
        <f t="shared" ref="S876" si="4524">+(Q876-Q869)/Q869</f>
        <v>-0.17110734725033513</v>
      </c>
      <c r="T876" s="16"/>
      <c r="U876" s="41"/>
      <c r="V876" s="10">
        <f t="shared" si="558"/>
        <v>768</v>
      </c>
      <c r="W876" s="34">
        <v>431</v>
      </c>
      <c r="X876" s="33">
        <v>4256</v>
      </c>
      <c r="Y876" s="33"/>
      <c r="Z876" s="33">
        <f t="shared" ref="Z876" si="4525">SUM(W871:W876)</f>
        <v>1268</v>
      </c>
      <c r="AA876" s="33">
        <f t="shared" ref="AA876" si="4526">+AA875+W876</f>
        <v>909928</v>
      </c>
      <c r="AB876" s="33"/>
      <c r="AC876" s="46">
        <f t="shared" ref="AC876" si="4527">+AA876/H876</f>
        <v>1.1534856391210333E-2</v>
      </c>
      <c r="AD876" s="33"/>
      <c r="AE876" s="33">
        <f t="shared" si="4476"/>
        <v>1049.5132641291812</v>
      </c>
      <c r="AF876" s="50"/>
      <c r="AG876" s="33"/>
      <c r="AH876" s="33"/>
      <c r="AI876" s="213"/>
      <c r="AJ876" s="50"/>
      <c r="AL876" s="23">
        <f t="shared" ref="AL876" si="4528">+AP876-AP875</f>
        <v>136366</v>
      </c>
      <c r="AM876" s="24"/>
      <c r="AN876" s="24"/>
      <c r="AO876" s="24">
        <v>178263</v>
      </c>
      <c r="AP876" s="24">
        <v>88568143</v>
      </c>
      <c r="AQ876" s="24">
        <v>20336656</v>
      </c>
      <c r="AR876" s="461">
        <f t="shared" ref="AR876" si="4529">+AL876/AP875</f>
        <v>1.54204749272425E-3</v>
      </c>
      <c r="AS876" s="25"/>
      <c r="AT876" s="25"/>
      <c r="AU876" s="24"/>
      <c r="AV876" s="298">
        <f t="shared" ref="AV876" si="4530">+AP876/H876</f>
        <v>1.1227490640371334</v>
      </c>
      <c r="AW876" s="298"/>
      <c r="AX876" s="24">
        <f t="shared" ref="AX876" si="4531">+AP876/BW876</f>
        <v>102154.72087658592</v>
      </c>
      <c r="AY876" s="308"/>
      <c r="BA876" s="65">
        <f t="shared" ref="BA876" si="4532">+BC876-BC875</f>
        <v>790668</v>
      </c>
      <c r="BB876" s="66"/>
      <c r="BC876" s="66">
        <v>1070398900</v>
      </c>
      <c r="BD876" s="66"/>
      <c r="BE876" s="66">
        <f t="shared" ref="BE876" si="4533">+D876</f>
        <v>100653</v>
      </c>
      <c r="BF876" s="66"/>
      <c r="BG876" s="144">
        <f t="shared" ref="BG876" si="4534">+BE876/BA876</f>
        <v>0.12730121871632594</v>
      </c>
      <c r="BH876" s="66"/>
      <c r="BI876" s="170"/>
      <c r="BJ876" s="66"/>
      <c r="BK876" s="66"/>
      <c r="BL876" s="66"/>
      <c r="BM876" s="144"/>
      <c r="BN876" s="65">
        <f t="shared" ref="BN876" si="4535">+BC876/BW876</f>
        <v>1234600.8073817762</v>
      </c>
      <c r="BO876" s="66"/>
      <c r="BP876" s="66">
        <f t="shared" ref="BP876" si="4536">+BP875+BE876</f>
        <v>77978096</v>
      </c>
      <c r="BQ876" s="66"/>
      <c r="BR876" s="435">
        <f t="shared" ref="BR876" si="4537">+BP876/BC876</f>
        <v>7.2849566642865571E-2</v>
      </c>
      <c r="BS876" s="66"/>
      <c r="BT876" s="75"/>
      <c r="BU876" s="170"/>
      <c r="BV876" s="1"/>
      <c r="BW876" s="61">
        <f t="shared" si="1544"/>
        <v>867</v>
      </c>
      <c r="BY876" s="59"/>
    </row>
    <row r="877" spans="2:77" x14ac:dyDescent="0.45">
      <c r="B877" s="158">
        <f t="shared" si="3706"/>
        <v>44777</v>
      </c>
      <c r="C877" s="61"/>
      <c r="D877" s="17">
        <v>86309</v>
      </c>
      <c r="E877" s="16"/>
      <c r="F877" s="16"/>
      <c r="G877" s="16"/>
      <c r="H877" s="16">
        <f t="shared" ref="H877" si="4538">+H876+D877</f>
        <v>78971383</v>
      </c>
      <c r="I877" s="16"/>
      <c r="J877" s="436">
        <f t="shared" ref="J877" si="4539">+D877/H876</f>
        <v>1.0941106552045574E-3</v>
      </c>
      <c r="K877" s="16"/>
      <c r="L877" s="16"/>
      <c r="M877" s="16"/>
      <c r="N877" s="16">
        <f t="shared" si="4469"/>
        <v>429626</v>
      </c>
      <c r="O877" s="16">
        <f t="shared" ref="O877" si="4540">+H877/BW877</f>
        <v>90980.855990783413</v>
      </c>
      <c r="P877" s="41"/>
      <c r="Q877" s="17">
        <f t="shared" si="4471"/>
        <v>429626</v>
      </c>
      <c r="R877" s="16"/>
      <c r="S877" s="60">
        <f t="shared" ref="S877" si="4541">+(Q877-Q870)/Q870</f>
        <v>-0.17244501118171784</v>
      </c>
      <c r="T877" s="16"/>
      <c r="U877" s="41"/>
      <c r="V877" s="10">
        <f t="shared" si="558"/>
        <v>769</v>
      </c>
      <c r="W877" s="34">
        <v>311</v>
      </c>
      <c r="X877" s="33">
        <v>4256</v>
      </c>
      <c r="Y877" s="33"/>
      <c r="Z877" s="33">
        <f t="shared" ref="Z877" si="4542">SUM(W872:W877)</f>
        <v>1293</v>
      </c>
      <c r="AA877" s="33">
        <f t="shared" ref="AA877" si="4543">+AA876+W877</f>
        <v>910239</v>
      </c>
      <c r="AB877" s="33"/>
      <c r="AC877" s="46">
        <f t="shared" ref="AC877" si="4544">+AA877/H877</f>
        <v>1.1526187910372547E-2</v>
      </c>
      <c r="AD877" s="33"/>
      <c r="AE877" s="33">
        <f t="shared" si="4476"/>
        <v>1048.6624423963133</v>
      </c>
      <c r="AF877" s="50"/>
      <c r="AG877" s="33"/>
      <c r="AH877" s="33"/>
      <c r="AI877" s="213"/>
      <c r="AJ877" s="50"/>
      <c r="AL877" s="23">
        <f t="shared" ref="AL877" si="4545">+AP877-AP876</f>
        <v>132826</v>
      </c>
      <c r="AM877" s="24"/>
      <c r="AN877" s="24"/>
      <c r="AO877" s="24">
        <v>178263</v>
      </c>
      <c r="AP877" s="24">
        <v>88700969</v>
      </c>
      <c r="AQ877" s="24">
        <v>20336656</v>
      </c>
      <c r="AR877" s="461">
        <f t="shared" ref="AR877" si="4546">+AL877/AP876</f>
        <v>1.4997040188592416E-3</v>
      </c>
      <c r="AS877" s="25"/>
      <c r="AT877" s="25"/>
      <c r="AU877" s="24"/>
      <c r="AV877" s="298">
        <f t="shared" ref="AV877" si="4547">+AP877/H877</f>
        <v>1.1232039459154464</v>
      </c>
      <c r="AW877" s="298"/>
      <c r="AX877" s="24">
        <f t="shared" ref="AX877" si="4548">+AP877/BW877</f>
        <v>102190.05645161291</v>
      </c>
      <c r="AY877" s="308"/>
      <c r="BA877" s="65">
        <f t="shared" ref="BA877" si="4549">+BC877-BC876</f>
        <v>4233897</v>
      </c>
      <c r="BB877" s="66"/>
      <c r="BC877" s="66">
        <v>1074632797</v>
      </c>
      <c r="BD877" s="66"/>
      <c r="BE877" s="66">
        <f t="shared" ref="BE877" si="4550">+D877</f>
        <v>86309</v>
      </c>
      <c r="BF877" s="66"/>
      <c r="BG877" s="144">
        <f t="shared" ref="BG877" si="4551">+BE877/BA877</f>
        <v>2.0385238469428992E-2</v>
      </c>
      <c r="BH877" s="66"/>
      <c r="BI877" s="170"/>
      <c r="BJ877" s="66"/>
      <c r="BK877" s="66"/>
      <c r="BL877" s="66"/>
      <c r="BM877" s="144"/>
      <c r="BN877" s="65">
        <f t="shared" ref="BN877" si="4552">+BC877/BW877</f>
        <v>1238056.2177419355</v>
      </c>
      <c r="BO877" s="66"/>
      <c r="BP877" s="66">
        <f t="shared" ref="BP877" si="4553">+BP876+BE877</f>
        <v>78064405</v>
      </c>
      <c r="BQ877" s="66"/>
      <c r="BR877" s="435">
        <f t="shared" ref="BR877" si="4554">+BP877/BC877</f>
        <v>7.2642864816641173E-2</v>
      </c>
      <c r="BS877" s="66"/>
      <c r="BT877" s="75"/>
      <c r="BU877" s="170"/>
      <c r="BV877" s="1"/>
      <c r="BW877" s="61">
        <f t="shared" si="1544"/>
        <v>868</v>
      </c>
      <c r="BY877" s="59"/>
    </row>
    <row r="878" spans="2:77" x14ac:dyDescent="0.45">
      <c r="B878" s="158">
        <f t="shared" si="3706"/>
        <v>44778</v>
      </c>
      <c r="C878" s="61"/>
      <c r="D878" s="17">
        <v>89240</v>
      </c>
      <c r="E878" s="16"/>
      <c r="F878" s="16"/>
      <c r="G878" s="16"/>
      <c r="H878" s="16">
        <f t="shared" ref="H878" si="4555">+H877+D878</f>
        <v>79060623</v>
      </c>
      <c r="I878" s="16"/>
      <c r="J878" s="436">
        <f t="shared" ref="J878" si="4556">+D878/H877</f>
        <v>1.1300295956574548E-3</v>
      </c>
      <c r="K878" s="16"/>
      <c r="L878" s="16"/>
      <c r="M878" s="16"/>
      <c r="N878" s="16">
        <f t="shared" si="4469"/>
        <v>419805</v>
      </c>
      <c r="O878" s="16">
        <f t="shared" ref="O878" si="4557">+H878/BW878</f>
        <v>90978.852704257763</v>
      </c>
      <c r="P878" s="41"/>
      <c r="Q878" s="17">
        <f t="shared" si="4471"/>
        <v>419805</v>
      </c>
      <c r="R878" s="16"/>
      <c r="S878" s="60">
        <f t="shared" ref="S878" si="4558">+(Q878-Q871)/Q871</f>
        <v>-0.17966299753589177</v>
      </c>
      <c r="T878" s="16"/>
      <c r="U878" s="41"/>
      <c r="V878" s="10">
        <f t="shared" si="558"/>
        <v>770</v>
      </c>
      <c r="W878" s="34">
        <v>400</v>
      </c>
      <c r="X878" s="33">
        <v>4256</v>
      </c>
      <c r="Y878" s="33"/>
      <c r="Z878" s="33">
        <f t="shared" ref="Z878" si="4559">SUM(W873:W878)</f>
        <v>1662</v>
      </c>
      <c r="AA878" s="33">
        <f t="shared" ref="AA878" si="4560">+AA877+W878</f>
        <v>910639</v>
      </c>
      <c r="AB878" s="33"/>
      <c r="AC878" s="46">
        <f t="shared" ref="AC878" si="4561">+AA878/H878</f>
        <v>1.1518237087506888E-2</v>
      </c>
      <c r="AD878" s="33"/>
      <c r="AE878" s="33">
        <f t="shared" si="4476"/>
        <v>1047.9159953970081</v>
      </c>
      <c r="AF878" s="50"/>
      <c r="AG878" s="33"/>
      <c r="AH878" s="33"/>
      <c r="AI878" s="213"/>
      <c r="AJ878" s="50"/>
      <c r="AL878" s="23">
        <f t="shared" ref="AL878" si="4562">+AP878-AP877</f>
        <v>122327</v>
      </c>
      <c r="AM878" s="24"/>
      <c r="AN878" s="24"/>
      <c r="AO878" s="24">
        <v>178263</v>
      </c>
      <c r="AP878" s="24">
        <v>88823296</v>
      </c>
      <c r="AQ878" s="24">
        <v>20336656</v>
      </c>
      <c r="AR878" s="461">
        <f t="shared" ref="AR878" si="4563">+AL878/AP877</f>
        <v>1.37909429151783E-3</v>
      </c>
      <c r="AS878" s="25"/>
      <c r="AT878" s="25"/>
      <c r="AU878" s="24"/>
      <c r="AV878" s="298">
        <f t="shared" ref="AV878" si="4564">+AP878/H878</f>
        <v>1.1234833805951667</v>
      </c>
      <c r="AW878" s="298"/>
      <c r="AX878" s="24">
        <f t="shared" ref="AX878" si="4565">+AP878/BW878</f>
        <v>102213.22899884926</v>
      </c>
      <c r="AY878" s="308"/>
      <c r="BA878" s="65">
        <f t="shared" ref="BA878" si="4566">+BC878-BC877</f>
        <v>344363</v>
      </c>
      <c r="BB878" s="66"/>
      <c r="BC878" s="66">
        <v>1074977160</v>
      </c>
      <c r="BD878" s="66"/>
      <c r="BE878" s="66">
        <f t="shared" ref="BE878" si="4567">+D878</f>
        <v>89240</v>
      </c>
      <c r="BF878" s="66"/>
      <c r="BG878" s="144">
        <f t="shared" ref="BG878" si="4568">+BE878/BA878</f>
        <v>0.25914514625555013</v>
      </c>
      <c r="BH878" s="66"/>
      <c r="BI878" s="170"/>
      <c r="BJ878" s="66"/>
      <c r="BK878" s="66"/>
      <c r="BL878" s="66"/>
      <c r="BM878" s="144"/>
      <c r="BN878" s="65">
        <f t="shared" ref="BN878" si="4569">+BC878/BW878</f>
        <v>1237027.8020713464</v>
      </c>
      <c r="BO878" s="66"/>
      <c r="BP878" s="66">
        <f t="shared" ref="BP878" si="4570">+BP877+BE878</f>
        <v>78153645</v>
      </c>
      <c r="BQ878" s="66"/>
      <c r="BR878" s="435">
        <f t="shared" ref="BR878" si="4571">+BP878/BC878</f>
        <v>7.2702609793123416E-2</v>
      </c>
      <c r="BS878" s="66"/>
      <c r="BT878" s="75"/>
      <c r="BU878" s="170"/>
      <c r="BV878" s="1"/>
      <c r="BW878" s="61">
        <f t="shared" si="1544"/>
        <v>869</v>
      </c>
      <c r="BY878" s="59"/>
    </row>
    <row r="879" spans="2:77" x14ac:dyDescent="0.45">
      <c r="B879" s="158">
        <f t="shared" si="3706"/>
        <v>44779</v>
      </c>
      <c r="C879" s="61"/>
      <c r="D879" s="17">
        <v>13529</v>
      </c>
      <c r="E879" s="16"/>
      <c r="F879" s="16"/>
      <c r="G879" s="16"/>
      <c r="H879" s="16">
        <f t="shared" ref="H879" si="4572">+H878+D879</f>
        <v>79074152</v>
      </c>
      <c r="I879" s="16"/>
      <c r="J879" s="436">
        <f t="shared" ref="J879" si="4573">+D879/H878</f>
        <v>1.7112184911570959E-4</v>
      </c>
      <c r="K879" s="16"/>
      <c r="L879" s="16"/>
      <c r="M879" s="16"/>
      <c r="N879" s="16">
        <f t="shared" si="4469"/>
        <v>417655</v>
      </c>
      <c r="O879" s="16">
        <f t="shared" ref="O879" si="4574">+H879/BW879</f>
        <v>90889.829885057465</v>
      </c>
      <c r="P879" s="41"/>
      <c r="Q879" s="17">
        <f t="shared" si="4471"/>
        <v>417655</v>
      </c>
      <c r="R879" s="16"/>
      <c r="S879" s="60">
        <f t="shared" ref="S879" si="4575">+(Q879-Q872)/Q872</f>
        <v>-0.16623912770073204</v>
      </c>
      <c r="T879" s="16"/>
      <c r="U879" s="41"/>
      <c r="V879" s="10">
        <f t="shared" si="558"/>
        <v>771</v>
      </c>
      <c r="W879" s="34">
        <v>35</v>
      </c>
      <c r="X879" s="33">
        <v>4256</v>
      </c>
      <c r="Y879" s="33"/>
      <c r="Z879" s="33">
        <f t="shared" ref="Z879" si="4576">SUM(W874:W879)</f>
        <v>1689</v>
      </c>
      <c r="AA879" s="33">
        <f t="shared" ref="AA879" si="4577">+AA878+W879</f>
        <v>910674</v>
      </c>
      <c r="AB879" s="33"/>
      <c r="AC879" s="46">
        <f t="shared" ref="AC879" si="4578">+AA879/H879</f>
        <v>1.1516709025219771E-2</v>
      </c>
      <c r="AD879" s="33"/>
      <c r="AE879" s="33">
        <f t="shared" si="4476"/>
        <v>1046.751724137931</v>
      </c>
      <c r="AF879" s="50"/>
      <c r="AG879" s="33"/>
      <c r="AH879" s="33"/>
      <c r="AI879" s="213"/>
      <c r="AJ879" s="50"/>
      <c r="AL879" s="23">
        <f t="shared" ref="AL879" si="4579">+AP879-AP878</f>
        <v>109830</v>
      </c>
      <c r="AM879" s="24"/>
      <c r="AN879" s="24"/>
      <c r="AO879" s="24">
        <v>178263</v>
      </c>
      <c r="AP879" s="24">
        <v>88933126</v>
      </c>
      <c r="AQ879" s="24">
        <v>20336656</v>
      </c>
      <c r="AR879" s="461">
        <f t="shared" ref="AR879" si="4580">+AL879/AP878</f>
        <v>1.2364999380342742E-3</v>
      </c>
      <c r="AS879" s="25"/>
      <c r="AT879" s="25"/>
      <c r="AU879" s="24"/>
      <c r="AV879" s="298">
        <f t="shared" ref="AV879" si="4581">+AP879/H879</f>
        <v>1.1246801103855024</v>
      </c>
      <c r="AW879" s="298"/>
      <c r="AX879" s="24">
        <f t="shared" ref="AX879" si="4582">+AP879/BW879</f>
        <v>102221.98390804598</v>
      </c>
      <c r="AY879" s="308"/>
      <c r="BA879" s="65">
        <f t="shared" ref="BA879" si="4583">+BC879-BC878</f>
        <v>12694316</v>
      </c>
      <c r="BB879" s="66"/>
      <c r="BC879" s="66">
        <v>1087671476</v>
      </c>
      <c r="BD879" s="66"/>
      <c r="BE879" s="66">
        <f t="shared" ref="BE879" si="4584">+D879</f>
        <v>13529</v>
      </c>
      <c r="BF879" s="66"/>
      <c r="BG879" s="144">
        <f t="shared" ref="BG879" si="4585">+BE879/BA879</f>
        <v>1.0657525777678766E-3</v>
      </c>
      <c r="BH879" s="66"/>
      <c r="BI879" s="170"/>
      <c r="BJ879" s="66"/>
      <c r="BK879" s="66"/>
      <c r="BL879" s="66"/>
      <c r="BM879" s="144"/>
      <c r="BN879" s="65">
        <f t="shared" ref="BN879" si="4586">+BC879/BW879</f>
        <v>1250197.0988505748</v>
      </c>
      <c r="BO879" s="66"/>
      <c r="BP879" s="66">
        <f t="shared" ref="BP879" si="4587">+BP878+BE879</f>
        <v>78167174</v>
      </c>
      <c r="BQ879" s="66"/>
      <c r="BR879" s="435">
        <f t="shared" ref="BR879" si="4588">+BP879/BC879</f>
        <v>7.1866529301169241E-2</v>
      </c>
      <c r="BS879" s="66"/>
      <c r="BT879" s="75"/>
      <c r="BU879" s="170"/>
      <c r="BV879" s="1"/>
      <c r="BW879" s="61">
        <f t="shared" si="1544"/>
        <v>870</v>
      </c>
      <c r="BY879" s="59"/>
    </row>
    <row r="880" spans="2:77" x14ac:dyDescent="0.45">
      <c r="B880" s="347">
        <f t="shared" si="3706"/>
        <v>44780</v>
      </c>
      <c r="C880" s="61"/>
      <c r="D880" s="17">
        <v>12546</v>
      </c>
      <c r="E880" s="16"/>
      <c r="F880" s="16"/>
      <c r="G880" s="16"/>
      <c r="H880" s="16">
        <f t="shared" ref="H880" si="4589">+H879+D880</f>
        <v>79086698</v>
      </c>
      <c r="I880" s="16"/>
      <c r="J880" s="436">
        <f t="shared" ref="J880" si="4590">+D880/H879</f>
        <v>1.5866120195636116E-4</v>
      </c>
      <c r="K880" s="16"/>
      <c r="L880" s="16"/>
      <c r="M880" s="16"/>
      <c r="N880" s="16">
        <f t="shared" si="4469"/>
        <v>417869</v>
      </c>
      <c r="O880" s="16">
        <f t="shared" ref="O880" si="4591">+H880/BW880</f>
        <v>90799.882893226182</v>
      </c>
      <c r="P880" s="41"/>
      <c r="Q880" s="17">
        <f t="shared" si="4471"/>
        <v>417869</v>
      </c>
      <c r="R880" s="16"/>
      <c r="S880" s="60">
        <f t="shared" ref="S880" si="4592">+(Q880-Q873)/Q873</f>
        <v>-0.14843133858428179</v>
      </c>
      <c r="T880" s="16"/>
      <c r="U880" s="41"/>
      <c r="V880" s="10">
        <f t="shared" si="558"/>
        <v>772</v>
      </c>
      <c r="W880" s="34">
        <v>12</v>
      </c>
      <c r="X880" s="33">
        <v>4256</v>
      </c>
      <c r="Y880" s="33"/>
      <c r="Z880" s="33">
        <f t="shared" ref="Z880" si="4593">SUM(W875:W880)</f>
        <v>1552</v>
      </c>
      <c r="AA880" s="33">
        <f t="shared" ref="AA880" si="4594">+AA879+W880</f>
        <v>910686</v>
      </c>
      <c r="AB880" s="33"/>
      <c r="AC880" s="46">
        <f t="shared" ref="AC880" si="4595">+AA880/H880</f>
        <v>1.1515033792408428E-2</v>
      </c>
      <c r="AD880" s="33"/>
      <c r="AE880" s="33">
        <f t="shared" si="4476"/>
        <v>1045.5637198622273</v>
      </c>
      <c r="AF880" s="50"/>
      <c r="AG880" s="33"/>
      <c r="AH880" s="33"/>
      <c r="AI880" s="213"/>
      <c r="AJ880" s="50"/>
      <c r="AL880" s="23">
        <f t="shared" ref="AL880" si="4596">+AP880-AP879</f>
        <v>106759</v>
      </c>
      <c r="AM880" s="24"/>
      <c r="AN880" s="24"/>
      <c r="AO880" s="24">
        <v>178263</v>
      </c>
      <c r="AP880" s="24">
        <v>89039885</v>
      </c>
      <c r="AQ880" s="24">
        <v>20336656</v>
      </c>
      <c r="AR880" s="461">
        <f t="shared" ref="AR880" si="4597">+AL880/AP879</f>
        <v>1.2004413293647184E-3</v>
      </c>
      <c r="AS880" s="25"/>
      <c r="AT880" s="25"/>
      <c r="AU880" s="24"/>
      <c r="AV880" s="298">
        <f t="shared" ref="AV880" si="4598">+AP880/H880</f>
        <v>1.1258515939052103</v>
      </c>
      <c r="AW880" s="298"/>
      <c r="AX880" s="24">
        <f t="shared" ref="AX880" si="4599">+AP880/BW880</f>
        <v>102227.19288174513</v>
      </c>
      <c r="AY880" s="308"/>
      <c r="BA880" s="65">
        <f t="shared" ref="BA880" si="4600">+BC880-BC879</f>
        <v>63829</v>
      </c>
      <c r="BB880" s="66"/>
      <c r="BC880" s="66">
        <v>1087735305</v>
      </c>
      <c r="BD880" s="66"/>
      <c r="BE880" s="66">
        <f t="shared" ref="BE880" si="4601">+D880</f>
        <v>12546</v>
      </c>
      <c r="BF880" s="66"/>
      <c r="BG880" s="144">
        <f t="shared" ref="BG880" si="4602">+BE880/BA880</f>
        <v>0.19655642419589842</v>
      </c>
      <c r="BH880" s="66"/>
      <c r="BI880" s="170"/>
      <c r="BJ880" s="66"/>
      <c r="BK880" s="66"/>
      <c r="BL880" s="66"/>
      <c r="BM880" s="144"/>
      <c r="BN880" s="65">
        <f t="shared" ref="BN880" si="4603">+BC880/BW880</f>
        <v>1248835.0229621124</v>
      </c>
      <c r="BO880" s="66"/>
      <c r="BP880" s="66">
        <f t="shared" ref="BP880" si="4604">+BP879+BE880</f>
        <v>78179720</v>
      </c>
      <c r="BQ880" s="66"/>
      <c r="BR880" s="435">
        <f t="shared" ref="BR880" si="4605">+BP880/BC880</f>
        <v>7.1873846183562087E-2</v>
      </c>
      <c r="BS880" s="66"/>
      <c r="BT880" s="75"/>
      <c r="BU880" s="170"/>
      <c r="BV880" s="1"/>
      <c r="BW880" s="61">
        <f t="shared" si="1544"/>
        <v>871</v>
      </c>
      <c r="BY880" s="59"/>
    </row>
    <row r="881" spans="2:77" x14ac:dyDescent="0.45">
      <c r="B881" s="158">
        <f t="shared" si="3706"/>
        <v>44781</v>
      </c>
      <c r="C881" s="61"/>
      <c r="D881" s="17">
        <v>44123</v>
      </c>
      <c r="E881" s="16"/>
      <c r="F881" s="16"/>
      <c r="G881" s="16"/>
      <c r="H881" s="16">
        <f t="shared" ref="H881" si="4606">+H880+D881</f>
        <v>79130821</v>
      </c>
      <c r="I881" s="16"/>
      <c r="J881" s="436">
        <f t="shared" ref="J881" si="4607">+D881/H880</f>
        <v>5.5790671649991002E-4</v>
      </c>
      <c r="K881" s="16"/>
      <c r="L881" s="16"/>
      <c r="M881" s="16"/>
      <c r="N881" s="16">
        <f t="shared" ref="N881" si="4608">SUM(D875:D881)</f>
        <v>407562</v>
      </c>
      <c r="O881" s="16">
        <f t="shared" ref="O881" si="4609">+H881/BW881</f>
        <v>90746.354357798162</v>
      </c>
      <c r="P881" s="41"/>
      <c r="Q881" s="17">
        <f t="shared" ref="Q881" si="4610">SUM(D875:D881)</f>
        <v>407562</v>
      </c>
      <c r="R881" s="16"/>
      <c r="S881" s="60">
        <f t="shared" ref="S881" si="4611">+(Q881-Q874)/Q874</f>
        <v>-0.14529459258249536</v>
      </c>
      <c r="T881" s="16"/>
      <c r="U881" s="41"/>
      <c r="V881" s="10">
        <f t="shared" si="558"/>
        <v>773</v>
      </c>
      <c r="W881" s="34">
        <v>134</v>
      </c>
      <c r="X881" s="33">
        <v>4256</v>
      </c>
      <c r="Y881" s="33"/>
      <c r="Z881" s="33">
        <f t="shared" ref="Z881" si="4612">SUM(W876:W881)</f>
        <v>1323</v>
      </c>
      <c r="AA881" s="33">
        <f t="shared" ref="AA881" si="4613">+AA880+W881</f>
        <v>910820</v>
      </c>
      <c r="AB881" s="33"/>
      <c r="AC881" s="46">
        <f t="shared" ref="AC881" si="4614">+AA881/H881</f>
        <v>1.151030645821304E-2</v>
      </c>
      <c r="AD881" s="33"/>
      <c r="AE881" s="33">
        <f t="shared" ref="AE881" si="4615">+AA881/BW881</f>
        <v>1044.5183486238532</v>
      </c>
      <c r="AF881" s="50"/>
      <c r="AG881" s="33"/>
      <c r="AH881" s="33"/>
      <c r="AI881" s="213"/>
      <c r="AJ881" s="50"/>
      <c r="AL881" s="23">
        <f t="shared" ref="AL881" si="4616">+AP881-AP880</f>
        <v>129516</v>
      </c>
      <c r="AM881" s="24"/>
      <c r="AN881" s="24"/>
      <c r="AO881" s="24">
        <v>178263</v>
      </c>
      <c r="AP881" s="24">
        <v>89169401</v>
      </c>
      <c r="AQ881" s="24">
        <v>20336656</v>
      </c>
      <c r="AR881" s="461">
        <f t="shared" ref="AR881" si="4617">+AL881/AP880</f>
        <v>1.4545840889170062E-3</v>
      </c>
      <c r="AS881" s="25"/>
      <c r="AT881" s="25"/>
      <c r="AU881" s="24"/>
      <c r="AV881" s="298">
        <f t="shared" ref="AV881" si="4618">+AP881/H881</f>
        <v>1.1268605566470744</v>
      </c>
      <c r="AW881" s="298"/>
      <c r="AX881" s="24">
        <f t="shared" ref="AX881" si="4619">+AP881/BW881</f>
        <v>102258.4873853211</v>
      </c>
      <c r="AY881" s="308"/>
      <c r="BA881" s="65">
        <f t="shared" ref="BA881" si="4620">+BC881-BC880</f>
        <v>801831</v>
      </c>
      <c r="BB881" s="66"/>
      <c r="BC881" s="66">
        <v>1088537136</v>
      </c>
      <c r="BD881" s="66"/>
      <c r="BE881" s="66">
        <f t="shared" ref="BE881" si="4621">+D881</f>
        <v>44123</v>
      </c>
      <c r="BF881" s="66"/>
      <c r="BG881" s="144">
        <f t="shared" ref="BG881" si="4622">+BE881/BA881</f>
        <v>5.5027805111052076E-2</v>
      </c>
      <c r="BH881" s="66"/>
      <c r="BI881" s="170"/>
      <c r="BJ881" s="66"/>
      <c r="BK881" s="66"/>
      <c r="BL881" s="66"/>
      <c r="BM881" s="144"/>
      <c r="BN881" s="65">
        <f t="shared" ref="BN881" si="4623">+BC881/BW881</f>
        <v>1248322.4036697247</v>
      </c>
      <c r="BO881" s="66"/>
      <c r="BP881" s="66">
        <f t="shared" ref="BP881" si="4624">+BP880+BE881</f>
        <v>78223843</v>
      </c>
      <c r="BQ881" s="66"/>
      <c r="BR881" s="435">
        <f t="shared" ref="BR881" si="4625">+BP881/BC881</f>
        <v>7.1861437164602165E-2</v>
      </c>
      <c r="BS881" s="66"/>
      <c r="BT881" s="75"/>
      <c r="BU881" s="170"/>
      <c r="BV881" s="1"/>
      <c r="BW881" s="61">
        <f t="shared" si="1544"/>
        <v>872</v>
      </c>
      <c r="BY881" s="59"/>
    </row>
    <row r="882" spans="2:77" x14ac:dyDescent="0.45">
      <c r="B882" s="158">
        <f t="shared" si="3706"/>
        <v>44782</v>
      </c>
      <c r="C882" s="61"/>
      <c r="D882" s="17">
        <v>58223</v>
      </c>
      <c r="E882" s="16"/>
      <c r="F882" s="16"/>
      <c r="G882" s="16"/>
      <c r="H882" s="16">
        <f t="shared" ref="H882" si="4626">+H881+D882</f>
        <v>79189044</v>
      </c>
      <c r="I882" s="16"/>
      <c r="J882" s="436">
        <f t="shared" ref="J882" si="4627">+D882/H881</f>
        <v>7.3578157365509957E-4</v>
      </c>
      <c r="K882" s="16"/>
      <c r="L882" s="16"/>
      <c r="M882" s="16"/>
      <c r="N882" s="16">
        <f t="shared" ref="N882" si="4628">SUM(D876:D882)</f>
        <v>404623</v>
      </c>
      <c r="O882" s="16">
        <f t="shared" ref="O882" si="4629">+H882/BW882</f>
        <v>90709.099656357386</v>
      </c>
      <c r="P882" s="41"/>
      <c r="Q882" s="17">
        <f t="shared" ref="Q882" si="4630">SUM(D876:D882)</f>
        <v>404623</v>
      </c>
      <c r="R882" s="16"/>
      <c r="S882" s="60">
        <f t="shared" ref="S882" si="4631">+(Q882-Q875)/Q875</f>
        <v>-0.10082978515364581</v>
      </c>
      <c r="T882" s="16"/>
      <c r="U882" s="41"/>
      <c r="V882" s="10">
        <f t="shared" si="558"/>
        <v>774</v>
      </c>
      <c r="W882" s="34">
        <v>342</v>
      </c>
      <c r="X882" s="33">
        <v>4256</v>
      </c>
      <c r="Y882" s="33"/>
      <c r="Z882" s="33">
        <f t="shared" ref="Z882" si="4632">SUM(W877:W882)</f>
        <v>1234</v>
      </c>
      <c r="AA882" s="33">
        <f t="shared" ref="AA882" si="4633">+AA881+W882</f>
        <v>911162</v>
      </c>
      <c r="AB882" s="33"/>
      <c r="AC882" s="46">
        <f t="shared" ref="AC882" si="4634">+AA882/H882</f>
        <v>1.1506162392868387E-2</v>
      </c>
      <c r="AD882" s="33"/>
      <c r="AE882" s="33">
        <f t="shared" ref="AE882" si="4635">+AA882/BW882</f>
        <v>1043.7136311569302</v>
      </c>
      <c r="AF882" s="50"/>
      <c r="AG882" s="33"/>
      <c r="AH882" s="33"/>
      <c r="AI882" s="213"/>
      <c r="AJ882" s="50"/>
      <c r="AL882" s="23">
        <f t="shared" ref="AL882" si="4636">+AP882-AP881</f>
        <v>100752</v>
      </c>
      <c r="AM882" s="24"/>
      <c r="AN882" s="24"/>
      <c r="AO882" s="24">
        <v>178263</v>
      </c>
      <c r="AP882" s="24">
        <v>89270153</v>
      </c>
      <c r="AQ882" s="24">
        <v>20336656</v>
      </c>
      <c r="AR882" s="461">
        <f t="shared" ref="AR882" si="4637">+AL882/AP881</f>
        <v>1.1298943232780044E-3</v>
      </c>
      <c r="AS882" s="25"/>
      <c r="AT882" s="25"/>
      <c r="AU882" s="24"/>
      <c r="AV882" s="298">
        <f t="shared" ref="AV882" si="4638">+AP882/H882</f>
        <v>1.1273043402317118</v>
      </c>
      <c r="AW882" s="298"/>
      <c r="AX882" s="24">
        <f t="shared" ref="AX882" si="4639">+AP882/BW882</f>
        <v>102256.76174112257</v>
      </c>
      <c r="AY882" s="308"/>
      <c r="BA882" s="65">
        <f t="shared" ref="BA882" si="4640">+BC882-BC881</f>
        <v>288448</v>
      </c>
      <c r="BB882" s="66"/>
      <c r="BC882" s="66">
        <v>1088825584</v>
      </c>
      <c r="BD882" s="66"/>
      <c r="BE882" s="66">
        <f t="shared" ref="BE882" si="4641">+D882</f>
        <v>58223</v>
      </c>
      <c r="BF882" s="66"/>
      <c r="BG882" s="144">
        <f t="shared" ref="BG882" si="4642">+BE882/BA882</f>
        <v>0.20184920678943866</v>
      </c>
      <c r="BH882" s="66"/>
      <c r="BI882" s="170"/>
      <c r="BJ882" s="66"/>
      <c r="BK882" s="66"/>
      <c r="BL882" s="66"/>
      <c r="BM882" s="144"/>
      <c r="BN882" s="65">
        <f t="shared" ref="BN882" si="4643">+BC882/BW882</f>
        <v>1247222.8911798396</v>
      </c>
      <c r="BO882" s="66"/>
      <c r="BP882" s="66">
        <f t="shared" ref="BP882" si="4644">+BP881+BE882</f>
        <v>78282066</v>
      </c>
      <c r="BQ882" s="66"/>
      <c r="BR882" s="435">
        <f t="shared" ref="BR882" si="4645">+BP882/BC882</f>
        <v>7.1895873085950565E-2</v>
      </c>
      <c r="BS882" s="66"/>
      <c r="BT882" s="75"/>
      <c r="BU882" s="170"/>
      <c r="BV882" s="1"/>
      <c r="BW882" s="61">
        <f t="shared" si="1544"/>
        <v>873</v>
      </c>
      <c r="BY882" s="59"/>
    </row>
    <row r="883" spans="2:77" x14ac:dyDescent="0.45">
      <c r="B883" s="158">
        <f t="shared" si="3706"/>
        <v>44783</v>
      </c>
      <c r="C883" s="61"/>
      <c r="D883" s="17">
        <v>95530</v>
      </c>
      <c r="E883" s="16"/>
      <c r="F883" s="16"/>
      <c r="G883" s="16"/>
      <c r="H883" s="16">
        <f t="shared" ref="H883" si="4646">+H882+D883</f>
        <v>79284574</v>
      </c>
      <c r="I883" s="16"/>
      <c r="J883" s="436">
        <f t="shared" ref="J883" si="4647">+D883/H882</f>
        <v>1.2063537476219564E-3</v>
      </c>
      <c r="K883" s="16"/>
      <c r="L883" s="16"/>
      <c r="M883" s="16"/>
      <c r="N883" s="16">
        <f t="shared" ref="N883" si="4648">SUM(D877:D883)</f>
        <v>399500</v>
      </c>
      <c r="O883" s="16">
        <f t="shared" ref="O883" si="4649">+H883/BW883</f>
        <v>90714.615560640726</v>
      </c>
      <c r="P883" s="41"/>
      <c r="Q883" s="17">
        <f t="shared" ref="Q883" si="4650">SUM(D877:D883)</f>
        <v>399500</v>
      </c>
      <c r="R883" s="16"/>
      <c r="S883" s="60">
        <f t="shared" ref="S883" si="4651">+(Q883-Q876)/Q876</f>
        <v>-8.4834365328623498E-2</v>
      </c>
      <c r="T883" s="16"/>
      <c r="U883" s="41"/>
      <c r="V883" s="10">
        <f t="shared" si="558"/>
        <v>775</v>
      </c>
      <c r="W883" s="34">
        <v>429</v>
      </c>
      <c r="X883" s="33">
        <v>4256</v>
      </c>
      <c r="Y883" s="33"/>
      <c r="Z883" s="33">
        <f t="shared" ref="Z883" si="4652">SUM(W878:W883)</f>
        <v>1352</v>
      </c>
      <c r="AA883" s="33">
        <f t="shared" ref="AA883" si="4653">+AA882+W883</f>
        <v>911591</v>
      </c>
      <c r="AB883" s="33"/>
      <c r="AC883" s="46">
        <f t="shared" ref="AC883" si="4654">+AA883/H883</f>
        <v>1.1497709503995064E-2</v>
      </c>
      <c r="AD883" s="33"/>
      <c r="AE883" s="33">
        <f t="shared" ref="AE883" si="4655">+AA883/BW883</f>
        <v>1043.0102974828376</v>
      </c>
      <c r="AF883" s="50"/>
      <c r="AG883" s="33"/>
      <c r="AH883" s="33"/>
      <c r="AI883" s="213"/>
      <c r="AJ883" s="50"/>
      <c r="AL883" s="23">
        <f t="shared" ref="AL883" si="4656">+AP883-AP882</f>
        <v>133624</v>
      </c>
      <c r="AM883" s="24"/>
      <c r="AN883" s="24"/>
      <c r="AO883" s="24">
        <v>178263</v>
      </c>
      <c r="AP883" s="24">
        <v>89403777</v>
      </c>
      <c r="AQ883" s="24">
        <v>20336656</v>
      </c>
      <c r="AR883" s="461">
        <f t="shared" ref="AR883" si="4657">+AL883/AP882</f>
        <v>1.4968496805421627E-3</v>
      </c>
      <c r="AS883" s="25"/>
      <c r="AT883" s="25"/>
      <c r="AU883" s="24"/>
      <c r="AV883" s="298">
        <f t="shared" ref="AV883" si="4658">+AP883/H883</f>
        <v>1.1276314229802131</v>
      </c>
      <c r="AW883" s="298"/>
      <c r="AX883" s="24">
        <f t="shared" ref="AX883" si="4659">+AP883/BW883</f>
        <v>102292.65102974829</v>
      </c>
      <c r="AY883" s="308"/>
      <c r="BA883" s="65">
        <f t="shared" ref="BA883" si="4660">+BC883-BC882</f>
        <v>745386</v>
      </c>
      <c r="BB883" s="66"/>
      <c r="BC883" s="66">
        <v>1089570970</v>
      </c>
      <c r="BD883" s="66"/>
      <c r="BE883" s="66">
        <f t="shared" ref="BE883" si="4661">+D883</f>
        <v>95530</v>
      </c>
      <c r="BF883" s="66"/>
      <c r="BG883" s="144">
        <f t="shared" ref="BG883" si="4662">+BE883/BA883</f>
        <v>0.12816178463239181</v>
      </c>
      <c r="BH883" s="66"/>
      <c r="BI883" s="170"/>
      <c r="BJ883" s="66"/>
      <c r="BK883" s="66"/>
      <c r="BL883" s="66"/>
      <c r="BM883" s="144"/>
      <c r="BN883" s="65">
        <f t="shared" ref="BN883" si="4663">+BC883/BW883</f>
        <v>1246648.7070938216</v>
      </c>
      <c r="BO883" s="66"/>
      <c r="BP883" s="66">
        <f t="shared" ref="BP883" si="4664">+BP882+BE883</f>
        <v>78377596</v>
      </c>
      <c r="BQ883" s="66"/>
      <c r="BR883" s="435">
        <f t="shared" ref="BR883" si="4665">+BP883/BC883</f>
        <v>7.1934365138234174E-2</v>
      </c>
      <c r="BS883" s="66"/>
      <c r="BT883" s="75"/>
      <c r="BU883" s="170"/>
      <c r="BV883" s="1"/>
      <c r="BW883" s="61">
        <f t="shared" si="1544"/>
        <v>874</v>
      </c>
      <c r="BY883" s="59"/>
    </row>
    <row r="884" spans="2:77" x14ac:dyDescent="0.45">
      <c r="B884" s="158">
        <f t="shared" si="3706"/>
        <v>44784</v>
      </c>
      <c r="C884" s="61"/>
      <c r="D884" s="17">
        <v>79145</v>
      </c>
      <c r="E884" s="16"/>
      <c r="F884" s="16"/>
      <c r="G884" s="16"/>
      <c r="H884" s="16">
        <f t="shared" ref="H884" si="4666">+H883+D884</f>
        <v>79363719</v>
      </c>
      <c r="I884" s="16"/>
      <c r="J884" s="436">
        <f t="shared" ref="J884" si="4667">+D884/H883</f>
        <v>9.9823958188890571E-4</v>
      </c>
      <c r="K884" s="16"/>
      <c r="L884" s="16"/>
      <c r="M884" s="16"/>
      <c r="N884" s="16">
        <f t="shared" ref="N884" si="4668">SUM(D878:D884)</f>
        <v>392336</v>
      </c>
      <c r="O884" s="16">
        <f t="shared" ref="O884" si="4669">+H884/BW884</f>
        <v>90701.393142857138</v>
      </c>
      <c r="P884" s="41"/>
      <c r="Q884" s="17">
        <f t="shared" ref="Q884" si="4670">SUM(D878:D884)</f>
        <v>392336</v>
      </c>
      <c r="R884" s="16"/>
      <c r="S884" s="60">
        <f t="shared" ref="S884" si="4671">+(Q884-Q877)/Q877</f>
        <v>-8.6796422935297213E-2</v>
      </c>
      <c r="T884" s="16"/>
      <c r="U884" s="41"/>
      <c r="V884" s="10">
        <f t="shared" si="558"/>
        <v>776</v>
      </c>
      <c r="W884" s="34">
        <v>290</v>
      </c>
      <c r="X884" s="33">
        <v>4256</v>
      </c>
      <c r="Y884" s="33"/>
      <c r="Z884" s="33">
        <f t="shared" ref="Z884" si="4672">SUM(W879:W884)</f>
        <v>1242</v>
      </c>
      <c r="AA884" s="33">
        <f t="shared" ref="AA884" si="4673">+AA883+W884</f>
        <v>911881</v>
      </c>
      <c r="AB884" s="33"/>
      <c r="AC884" s="46">
        <f t="shared" ref="AC884" si="4674">+AA884/H884</f>
        <v>1.1489897543737838E-2</v>
      </c>
      <c r="AD884" s="33"/>
      <c r="AE884" s="33">
        <f t="shared" ref="AE884" si="4675">+AA884/BW884</f>
        <v>1042.1497142857143</v>
      </c>
      <c r="AF884" s="50"/>
      <c r="AG884" s="33"/>
      <c r="AH884" s="33"/>
      <c r="AI884" s="213"/>
      <c r="AJ884" s="50"/>
      <c r="AL884" s="23">
        <f t="shared" ref="AL884" si="4676">+AP884-AP883</f>
        <v>142374</v>
      </c>
      <c r="AM884" s="24"/>
      <c r="AN884" s="24"/>
      <c r="AO884" s="24">
        <v>178263</v>
      </c>
      <c r="AP884" s="24">
        <v>89546151</v>
      </c>
      <c r="AQ884" s="24">
        <v>20336656</v>
      </c>
      <c r="AR884" s="461">
        <f t="shared" ref="AR884" si="4677">+AL884/AP883</f>
        <v>1.5924830558333124E-3</v>
      </c>
      <c r="AS884" s="25"/>
      <c r="AT884" s="25"/>
      <c r="AU884" s="24"/>
      <c r="AV884" s="298">
        <f t="shared" ref="AV884" si="4678">+AP884/H884</f>
        <v>1.1283008423534184</v>
      </c>
      <c r="AW884" s="298"/>
      <c r="AX884" s="24">
        <f t="shared" ref="AX884" si="4679">+AP884/BW884</f>
        <v>102338.45828571428</v>
      </c>
      <c r="AY884" s="308"/>
      <c r="BA884" s="65">
        <f t="shared" ref="BA884" si="4680">+BC884-BC883</f>
        <v>421100</v>
      </c>
      <c r="BB884" s="66"/>
      <c r="BC884" s="66">
        <v>1089992070</v>
      </c>
      <c r="BD884" s="66"/>
      <c r="BE884" s="66">
        <f t="shared" ref="BE884" si="4681">+D884</f>
        <v>79145</v>
      </c>
      <c r="BF884" s="66"/>
      <c r="BG884" s="144">
        <f t="shared" ref="BG884" si="4682">+BE884/BA884</f>
        <v>0.18794823082403231</v>
      </c>
      <c r="BH884" s="66"/>
      <c r="BI884" s="170"/>
      <c r="BJ884" s="66"/>
      <c r="BK884" s="66"/>
      <c r="BL884" s="66"/>
      <c r="BM884" s="144"/>
      <c r="BN884" s="65">
        <f t="shared" ref="BN884" si="4683">+BC884/BW884</f>
        <v>1245705.2228571428</v>
      </c>
      <c r="BO884" s="66"/>
      <c r="BP884" s="66">
        <f t="shared" ref="BP884" si="4684">+BP883+BE884</f>
        <v>78456741</v>
      </c>
      <c r="BQ884" s="66"/>
      <c r="BR884" s="435">
        <f t="shared" ref="BR884" si="4685">+BP884/BC884</f>
        <v>7.1979185132970733E-2</v>
      </c>
      <c r="BS884" s="66"/>
      <c r="BT884" s="75"/>
      <c r="BU884" s="170"/>
      <c r="BV884" s="1"/>
      <c r="BW884" s="61">
        <f t="shared" si="1544"/>
        <v>875</v>
      </c>
      <c r="BY884" s="59"/>
    </row>
    <row r="885" spans="2:77" x14ac:dyDescent="0.45">
      <c r="B885" s="158">
        <f t="shared" si="3706"/>
        <v>44785</v>
      </c>
      <c r="C885" s="61"/>
      <c r="D885" s="17">
        <v>85116</v>
      </c>
      <c r="E885" s="16"/>
      <c r="F885" s="16"/>
      <c r="G885" s="16"/>
      <c r="H885" s="16">
        <f t="shared" ref="H885" si="4686">+H884+D885</f>
        <v>79448835</v>
      </c>
      <c r="I885" s="16"/>
      <c r="J885" s="436">
        <f t="shared" ref="J885" si="4687">+D885/H884</f>
        <v>1.0724799829503957E-3</v>
      </c>
      <c r="K885" s="16"/>
      <c r="L885" s="16"/>
      <c r="M885" s="16"/>
      <c r="N885" s="16">
        <f t="shared" ref="N885" si="4688">SUM(D879:D885)</f>
        <v>388212</v>
      </c>
      <c r="O885" s="16">
        <f t="shared" ref="O885" si="4689">+H885/BW885</f>
        <v>90695.017123287675</v>
      </c>
      <c r="P885" s="41"/>
      <c r="Q885" s="17">
        <f t="shared" ref="Q885" si="4690">SUM(D879:D885)</f>
        <v>388212</v>
      </c>
      <c r="R885" s="16"/>
      <c r="S885" s="60">
        <f t="shared" ref="S885" si="4691">+(Q885-Q878)/Q878</f>
        <v>-7.5256369028477502E-2</v>
      </c>
      <c r="T885" s="16"/>
      <c r="U885" s="41"/>
      <c r="V885" s="10">
        <f t="shared" si="558"/>
        <v>777</v>
      </c>
      <c r="W885" s="34">
        <v>335</v>
      </c>
      <c r="X885" s="33">
        <v>4256</v>
      </c>
      <c r="Y885" s="33"/>
      <c r="Z885" s="33">
        <f t="shared" ref="Z885" si="4692">SUM(W880:W885)</f>
        <v>1542</v>
      </c>
      <c r="AA885" s="33">
        <f t="shared" ref="AA885" si="4693">+AA884+W885</f>
        <v>912216</v>
      </c>
      <c r="AB885" s="33"/>
      <c r="AC885" s="46">
        <f t="shared" ref="AC885" si="4694">+AA885/H885</f>
        <v>1.1481804610476667E-2</v>
      </c>
      <c r="AD885" s="33"/>
      <c r="AE885" s="33">
        <f t="shared" ref="AE885" si="4695">+AA885/BW885</f>
        <v>1041.3424657534247</v>
      </c>
      <c r="AF885" s="50"/>
      <c r="AG885" s="33"/>
      <c r="AH885" s="33"/>
      <c r="AI885" s="213"/>
      <c r="AJ885" s="50"/>
      <c r="AL885" s="23">
        <f t="shared" ref="AL885" si="4696">+AP885-AP884</f>
        <v>136761</v>
      </c>
      <c r="AM885" s="24"/>
      <c r="AN885" s="24"/>
      <c r="AO885" s="24">
        <v>178263</v>
      </c>
      <c r="AP885" s="24">
        <v>89682912</v>
      </c>
      <c r="AQ885" s="24">
        <v>20336656</v>
      </c>
      <c r="AR885" s="461">
        <f t="shared" ref="AR885" si="4697">+AL885/AP884</f>
        <v>1.5272683244643313E-3</v>
      </c>
      <c r="AS885" s="25"/>
      <c r="AT885" s="25"/>
      <c r="AU885" s="24"/>
      <c r="AV885" s="298">
        <f t="shared" ref="AV885" si="4698">+AP885/H885</f>
        <v>1.1288134306815198</v>
      </c>
      <c r="AW885" s="298"/>
      <c r="AX885" s="24">
        <f t="shared" ref="AX885" si="4699">+AP885/BW885</f>
        <v>102377.75342465754</v>
      </c>
      <c r="AY885" s="308"/>
      <c r="BA885" s="65">
        <f t="shared" ref="BA885" si="4700">+BC885-BC884</f>
        <v>2243006</v>
      </c>
      <c r="BB885" s="66"/>
      <c r="BC885" s="66">
        <v>1092235076</v>
      </c>
      <c r="BD885" s="66"/>
      <c r="BE885" s="66">
        <f t="shared" ref="BE885" si="4701">+D885</f>
        <v>85116</v>
      </c>
      <c r="BF885" s="66"/>
      <c r="BG885" s="144">
        <f t="shared" ref="BG885" si="4702">+BE885/BA885</f>
        <v>3.7947290377288334E-2</v>
      </c>
      <c r="BH885" s="66"/>
      <c r="BI885" s="170"/>
      <c r="BJ885" s="66"/>
      <c r="BK885" s="66"/>
      <c r="BL885" s="66"/>
      <c r="BM885" s="144"/>
      <c r="BN885" s="65">
        <f t="shared" ref="BN885" si="4703">+BC885/BW885</f>
        <v>1246843.694063927</v>
      </c>
      <c r="BO885" s="66"/>
      <c r="BP885" s="66">
        <f t="shared" ref="BP885" si="4704">+BP884+BE885</f>
        <v>78541857</v>
      </c>
      <c r="BQ885" s="66"/>
      <c r="BR885" s="435">
        <f t="shared" ref="BR885" si="4705">+BP885/BC885</f>
        <v>7.1909297481671422E-2</v>
      </c>
      <c r="BS885" s="66"/>
      <c r="BT885" s="75"/>
      <c r="BU885" s="170"/>
      <c r="BV885" s="1"/>
      <c r="BW885" s="61">
        <f t="shared" si="1544"/>
        <v>876</v>
      </c>
      <c r="BY885" s="59"/>
    </row>
    <row r="886" spans="2:77" x14ac:dyDescent="0.45">
      <c r="B886" s="158">
        <f t="shared" si="3706"/>
        <v>44786</v>
      </c>
      <c r="C886" s="61"/>
      <c r="D886" s="17">
        <v>12123</v>
      </c>
      <c r="E886" s="16"/>
      <c r="F886" s="16"/>
      <c r="G886" s="16"/>
      <c r="H886" s="16">
        <f t="shared" ref="H886" si="4706">+H885+D886</f>
        <v>79460958</v>
      </c>
      <c r="I886" s="16"/>
      <c r="J886" s="436">
        <f t="shared" ref="J886" si="4707">+D886/H885</f>
        <v>1.5258876986679539E-4</v>
      </c>
      <c r="K886" s="16"/>
      <c r="L886" s="16"/>
      <c r="M886" s="16"/>
      <c r="N886" s="16">
        <f t="shared" ref="N886" si="4708">SUM(D880:D886)</f>
        <v>386806</v>
      </c>
      <c r="O886" s="16">
        <f t="shared" ref="O886" si="4709">+H886/BW886</f>
        <v>90605.42531356898</v>
      </c>
      <c r="P886" s="41"/>
      <c r="Q886" s="17">
        <f t="shared" ref="Q886" si="4710">SUM(D880:D886)</f>
        <v>386806</v>
      </c>
      <c r="R886" s="16"/>
      <c r="S886" s="60">
        <f t="shared" ref="S886" si="4711">+(Q886-Q879)/Q879</f>
        <v>-7.3862398391016507E-2</v>
      </c>
      <c r="T886" s="16"/>
      <c r="U886" s="41"/>
      <c r="V886" s="10">
        <f t="shared" si="558"/>
        <v>778</v>
      </c>
      <c r="W886" s="34">
        <v>31</v>
      </c>
      <c r="X886" s="33">
        <v>4256</v>
      </c>
      <c r="Y886" s="33"/>
      <c r="Z886" s="33">
        <f t="shared" ref="Z886" si="4712">SUM(W881:W886)</f>
        <v>1561</v>
      </c>
      <c r="AA886" s="33">
        <f t="shared" ref="AA886" si="4713">+AA885+W886</f>
        <v>912247</v>
      </c>
      <c r="AB886" s="33"/>
      <c r="AC886" s="46">
        <f t="shared" ref="AC886" si="4714">+AA886/H886</f>
        <v>1.1480443012026107E-2</v>
      </c>
      <c r="AD886" s="33"/>
      <c r="AE886" s="33">
        <f t="shared" ref="AE886" si="4715">+AA886/BW886</f>
        <v>1040.1904218928164</v>
      </c>
      <c r="AF886" s="50"/>
      <c r="AG886" s="33"/>
      <c r="AH886" s="33"/>
      <c r="AI886" s="213"/>
      <c r="AJ886" s="50"/>
      <c r="AL886" s="23">
        <f t="shared" ref="AL886" si="4716">+AP886-AP885</f>
        <v>116244</v>
      </c>
      <c r="AM886" s="24"/>
      <c r="AN886" s="24"/>
      <c r="AO886" s="24">
        <v>178263</v>
      </c>
      <c r="AP886" s="24">
        <v>89799156</v>
      </c>
      <c r="AQ886" s="24">
        <v>20336656</v>
      </c>
      <c r="AR886" s="461">
        <f t="shared" ref="AR886" si="4717">+AL886/AP885</f>
        <v>1.2961666543566293E-3</v>
      </c>
      <c r="AS886" s="25"/>
      <c r="AT886" s="25"/>
      <c r="AU886" s="24"/>
      <c r="AV886" s="298">
        <f t="shared" ref="AV886" si="4718">+AP886/H886</f>
        <v>1.1301041198118955</v>
      </c>
      <c r="AW886" s="298"/>
      <c r="AX886" s="24">
        <f t="shared" ref="AX886" si="4719">+AP886/BW886</f>
        <v>102393.56442417332</v>
      </c>
      <c r="AY886" s="308"/>
      <c r="BA886" s="65">
        <f t="shared" ref="BA886" si="4720">+BC886-BC885</f>
        <v>102619</v>
      </c>
      <c r="BB886" s="66"/>
      <c r="BC886" s="66">
        <v>1092337695</v>
      </c>
      <c r="BD886" s="66"/>
      <c r="BE886" s="66">
        <f t="shared" ref="BE886" si="4721">+D886</f>
        <v>12123</v>
      </c>
      <c r="BF886" s="66"/>
      <c r="BG886" s="144">
        <f t="shared" ref="BG886" si="4722">+BE886/BA886</f>
        <v>0.11813601769652793</v>
      </c>
      <c r="BH886" s="66"/>
      <c r="BI886" s="170"/>
      <c r="BJ886" s="66"/>
      <c r="BK886" s="66"/>
      <c r="BL886" s="66"/>
      <c r="BM886" s="144"/>
      <c r="BN886" s="65">
        <f t="shared" ref="BN886" si="4723">+BC886/BW886</f>
        <v>1245538.9908779932</v>
      </c>
      <c r="BO886" s="66"/>
      <c r="BP886" s="66">
        <f t="shared" ref="BP886" si="4724">+BP885+BE886</f>
        <v>78553980</v>
      </c>
      <c r="BQ886" s="66"/>
      <c r="BR886" s="435">
        <f t="shared" ref="BR886" si="4725">+BP886/BC886</f>
        <v>7.1913640222770123E-2</v>
      </c>
      <c r="BS886" s="66"/>
      <c r="BT886" s="75"/>
      <c r="BU886" s="170"/>
      <c r="BV886" s="1"/>
      <c r="BW886" s="61">
        <f t="shared" si="1544"/>
        <v>877</v>
      </c>
      <c r="BY886" s="59"/>
    </row>
    <row r="887" spans="2:77" x14ac:dyDescent="0.45">
      <c r="B887" s="347">
        <f t="shared" si="3706"/>
        <v>44787</v>
      </c>
      <c r="C887" s="61"/>
      <c r="D887" s="17">
        <v>9215</v>
      </c>
      <c r="E887" s="16"/>
      <c r="F887" s="16"/>
      <c r="G887" s="16"/>
      <c r="H887" s="16">
        <f t="shared" ref="H887" si="4726">+H886+D887</f>
        <v>79470173</v>
      </c>
      <c r="I887" s="16"/>
      <c r="J887" s="436">
        <f t="shared" ref="J887" si="4727">+D887/H886</f>
        <v>1.1596890135656306E-4</v>
      </c>
      <c r="K887" s="16"/>
      <c r="L887" s="16"/>
      <c r="M887" s="16"/>
      <c r="N887" s="16">
        <f t="shared" ref="N887" si="4728">SUM(D881:D887)</f>
        <v>383475</v>
      </c>
      <c r="O887" s="16">
        <f t="shared" ref="O887" si="4729">+H887/BW887</f>
        <v>90512.725512528472</v>
      </c>
      <c r="P887" s="41"/>
      <c r="Q887" s="17">
        <f t="shared" ref="Q887" si="4730">SUM(D881:D887)</f>
        <v>383475</v>
      </c>
      <c r="R887" s="16"/>
      <c r="S887" s="60">
        <f t="shared" ref="S887" si="4731">+(Q887-Q880)/Q880</f>
        <v>-8.2308091770387365E-2</v>
      </c>
      <c r="T887" s="16"/>
      <c r="U887" s="41"/>
      <c r="V887" s="10">
        <f t="shared" si="558"/>
        <v>779</v>
      </c>
      <c r="W887" s="34">
        <v>10</v>
      </c>
      <c r="X887" s="33">
        <v>4256</v>
      </c>
      <c r="Y887" s="33"/>
      <c r="Z887" s="33">
        <f t="shared" ref="Z887" si="4732">SUM(W882:W887)</f>
        <v>1437</v>
      </c>
      <c r="AA887" s="33">
        <f t="shared" ref="AA887" si="4733">+AA886+W887</f>
        <v>912257</v>
      </c>
      <c r="AB887" s="33"/>
      <c r="AC887" s="46">
        <f t="shared" ref="AC887" si="4734">+AA887/H887</f>
        <v>1.1479237625417023E-2</v>
      </c>
      <c r="AD887" s="33"/>
      <c r="AE887" s="33">
        <f t="shared" ref="AE887" si="4735">+AA887/BW887</f>
        <v>1039.0170842824602</v>
      </c>
      <c r="AF887" s="50"/>
      <c r="AG887" s="33"/>
      <c r="AH887" s="33"/>
      <c r="AI887" s="213"/>
      <c r="AJ887" s="50"/>
      <c r="AL887" s="23">
        <f t="shared" ref="AL887" si="4736">+AP887-AP886</f>
        <v>108429</v>
      </c>
      <c r="AM887" s="24"/>
      <c r="AN887" s="24"/>
      <c r="AO887" s="24">
        <v>178263</v>
      </c>
      <c r="AP887" s="24">
        <v>89907585</v>
      </c>
      <c r="AQ887" s="24">
        <v>20336656</v>
      </c>
      <c r="AR887" s="461">
        <f t="shared" ref="AR887" si="4737">+AL887/AP886</f>
        <v>1.2074612371635208E-3</v>
      </c>
      <c r="AS887" s="25"/>
      <c r="AT887" s="25"/>
      <c r="AU887" s="24"/>
      <c r="AV887" s="298">
        <f t="shared" ref="AV887" si="4738">+AP887/H887</f>
        <v>1.1313374767662832</v>
      </c>
      <c r="AW887" s="298"/>
      <c r="AX887" s="24">
        <f t="shared" ref="AX887" si="4739">+AP887/BW887</f>
        <v>102400.43849658314</v>
      </c>
      <c r="AY887" s="308"/>
      <c r="BA887" s="65">
        <f t="shared" ref="BA887" si="4740">+BC887-BC886</f>
        <v>66326</v>
      </c>
      <c r="BB887" s="66"/>
      <c r="BC887" s="66">
        <v>1092404021</v>
      </c>
      <c r="BD887" s="66"/>
      <c r="BE887" s="66">
        <f t="shared" ref="BE887" si="4741">+D887</f>
        <v>9215</v>
      </c>
      <c r="BF887" s="66"/>
      <c r="BG887" s="144">
        <f t="shared" ref="BG887" si="4742">+BE887/BA887</f>
        <v>0.13893495763350722</v>
      </c>
      <c r="BH887" s="66"/>
      <c r="BI887" s="170"/>
      <c r="BJ887" s="66"/>
      <c r="BK887" s="66"/>
      <c r="BL887" s="66"/>
      <c r="BM887" s="144"/>
      <c r="BN887" s="65">
        <f t="shared" ref="BN887" si="4743">+BC887/BW887</f>
        <v>1244195.923690205</v>
      </c>
      <c r="BO887" s="66"/>
      <c r="BP887" s="66">
        <f t="shared" ref="BP887" si="4744">+BP886+BE887</f>
        <v>78563195</v>
      </c>
      <c r="BQ887" s="66"/>
      <c r="BR887" s="435">
        <f t="shared" ref="BR887" si="4745">+BP887/BC887</f>
        <v>7.1917709464381405E-2</v>
      </c>
      <c r="BS887" s="66"/>
      <c r="BT887" s="75"/>
      <c r="BU887" s="170"/>
      <c r="BV887" s="1"/>
      <c r="BW887" s="61">
        <f t="shared" si="1544"/>
        <v>878</v>
      </c>
      <c r="BY887" s="59"/>
    </row>
    <row r="888" spans="2:77" x14ac:dyDescent="0.45">
      <c r="B888" s="158">
        <f t="shared" si="3706"/>
        <v>44788</v>
      </c>
      <c r="C888" s="61"/>
      <c r="D888" s="17">
        <v>37565</v>
      </c>
      <c r="E888" s="16"/>
      <c r="F888" s="16"/>
      <c r="G888" s="16"/>
      <c r="H888" s="16">
        <f t="shared" ref="H888" si="4746">+H887+D888</f>
        <v>79507738</v>
      </c>
      <c r="I888" s="16"/>
      <c r="J888" s="436">
        <f t="shared" ref="J888" si="4747">+D888/H887</f>
        <v>4.7269306938591915E-4</v>
      </c>
      <c r="K888" s="16"/>
      <c r="L888" s="16"/>
      <c r="M888" s="16"/>
      <c r="N888" s="16">
        <f t="shared" ref="N888" si="4748">SUM(D882:D888)</f>
        <v>376917</v>
      </c>
      <c r="O888" s="16">
        <f t="shared" ref="O888" si="4749">+H888/BW888</f>
        <v>90452.489192263936</v>
      </c>
      <c r="P888" s="41"/>
      <c r="Q888" s="17">
        <f t="shared" ref="Q888" si="4750">SUM(D882:D888)</f>
        <v>376917</v>
      </c>
      <c r="R888" s="16"/>
      <c r="S888" s="60">
        <f t="shared" ref="S888" si="4751">+(Q888-Q881)/Q881</f>
        <v>-7.5191013882550381E-2</v>
      </c>
      <c r="T888" s="16"/>
      <c r="U888" s="41"/>
      <c r="V888" s="10">
        <f t="shared" si="558"/>
        <v>780</v>
      </c>
      <c r="W888" s="34">
        <v>112</v>
      </c>
      <c r="X888" s="33">
        <v>4256</v>
      </c>
      <c r="Y888" s="33"/>
      <c r="Z888" s="33">
        <f t="shared" ref="Z888" si="4752">SUM(W883:W888)</f>
        <v>1207</v>
      </c>
      <c r="AA888" s="33">
        <f t="shared" ref="AA888" si="4753">+AA887+W888</f>
        <v>912369</v>
      </c>
      <c r="AB888" s="33"/>
      <c r="AC888" s="46">
        <f t="shared" ref="AC888" si="4754">+AA888/H888</f>
        <v>1.1475222700965283E-2</v>
      </c>
      <c r="AD888" s="33"/>
      <c r="AE888" s="33">
        <f t="shared" ref="AE888" si="4755">+AA888/BW888</f>
        <v>1037.962457337884</v>
      </c>
      <c r="AF888" s="50"/>
      <c r="AG888" s="33"/>
      <c r="AH888" s="33"/>
      <c r="AI888" s="213"/>
      <c r="AJ888" s="50"/>
      <c r="AL888" s="23">
        <f t="shared" ref="AL888" si="4756">+AP888-AP887</f>
        <v>127887</v>
      </c>
      <c r="AM888" s="24"/>
      <c r="AN888" s="24"/>
      <c r="AO888" s="24">
        <v>178263</v>
      </c>
      <c r="AP888" s="24">
        <v>90035472</v>
      </c>
      <c r="AQ888" s="24">
        <v>20336656</v>
      </c>
      <c r="AR888" s="461">
        <f t="shared" ref="AR888" si="4757">+AL888/AP887</f>
        <v>1.4224272623939349E-3</v>
      </c>
      <c r="AS888" s="25"/>
      <c r="AT888" s="25"/>
      <c r="AU888" s="24"/>
      <c r="AV888" s="298">
        <f t="shared" ref="AV888" si="4758">+AP888/H888</f>
        <v>1.1324114389972961</v>
      </c>
      <c r="AW888" s="298"/>
      <c r="AX888" s="24">
        <f t="shared" ref="AX888" si="4759">+AP888/BW888</f>
        <v>102429.43344709897</v>
      </c>
      <c r="AY888" s="308"/>
      <c r="BA888" s="65">
        <f t="shared" ref="BA888" si="4760">+BC888-BC887</f>
        <v>614709</v>
      </c>
      <c r="BB888" s="66"/>
      <c r="BC888" s="66">
        <v>1093018730</v>
      </c>
      <c r="BD888" s="66"/>
      <c r="BE888" s="66">
        <f t="shared" ref="BE888" si="4761">+D888</f>
        <v>37565</v>
      </c>
      <c r="BF888" s="66"/>
      <c r="BG888" s="144">
        <f t="shared" ref="BG888" si="4762">+BE888/BA888</f>
        <v>6.1110216378806884E-2</v>
      </c>
      <c r="BH888" s="66"/>
      <c r="BI888" s="170"/>
      <c r="BJ888" s="66"/>
      <c r="BK888" s="66"/>
      <c r="BL888" s="66"/>
      <c r="BM888" s="144"/>
      <c r="BN888" s="65">
        <f t="shared" ref="BN888" si="4763">+BC888/BW888</f>
        <v>1243479.7838452787</v>
      </c>
      <c r="BO888" s="66"/>
      <c r="BP888" s="66">
        <f t="shared" ref="BP888" si="4764">+BP887+BE888</f>
        <v>78600760</v>
      </c>
      <c r="BQ888" s="66"/>
      <c r="BR888" s="435">
        <f t="shared" ref="BR888" si="4765">+BP888/BC888</f>
        <v>7.1911631377076221E-2</v>
      </c>
      <c r="BS888" s="66"/>
      <c r="BT888" s="75"/>
      <c r="BU888" s="170"/>
      <c r="BV888" s="1"/>
      <c r="BW888" s="61">
        <f t="shared" si="1544"/>
        <v>879</v>
      </c>
      <c r="BY888" s="59"/>
    </row>
    <row r="889" spans="2:77" x14ac:dyDescent="0.45">
      <c r="B889" s="158">
        <f t="shared" si="3706"/>
        <v>44789</v>
      </c>
      <c r="C889" s="111" t="s">
        <v>26</v>
      </c>
      <c r="D889" s="17">
        <v>94070</v>
      </c>
      <c r="E889" s="16"/>
      <c r="F889" s="16"/>
      <c r="G889" s="16"/>
      <c r="H889" s="16">
        <f t="shared" ref="H889" si="4766">+H888+D889</f>
        <v>79601808</v>
      </c>
      <c r="I889" s="16"/>
      <c r="J889" s="436">
        <f t="shared" ref="J889" si="4767">+D889/H888</f>
        <v>1.1831552798043381E-3</v>
      </c>
      <c r="K889" s="16"/>
      <c r="L889" s="16"/>
      <c r="M889" s="16"/>
      <c r="N889" s="16">
        <f t="shared" ref="N889" si="4768">SUM(D883:D889)</f>
        <v>412764</v>
      </c>
      <c r="O889" s="16">
        <f t="shared" ref="O889" si="4769">+H889/BW889</f>
        <v>90456.6</v>
      </c>
      <c r="P889" s="41"/>
      <c r="Q889" s="17">
        <f t="shared" ref="Q889" si="4770">SUM(D883:D889)</f>
        <v>412764</v>
      </c>
      <c r="R889" s="16"/>
      <c r="S889" s="60">
        <f t="shared" ref="S889" si="4771">+(Q889-Q882)/Q882</f>
        <v>2.0119963521599119E-2</v>
      </c>
      <c r="T889" s="16"/>
      <c r="U889" s="41"/>
      <c r="V889" s="10">
        <f t="shared" si="558"/>
        <v>781</v>
      </c>
      <c r="W889" s="34">
        <v>450</v>
      </c>
      <c r="X889" s="33">
        <v>4256</v>
      </c>
      <c r="Y889" s="33"/>
      <c r="Z889" s="33">
        <f t="shared" ref="Z889" si="4772">SUM(W884:W889)</f>
        <v>1228</v>
      </c>
      <c r="AA889" s="33">
        <f t="shared" ref="AA889" si="4773">+AA888+W889</f>
        <v>912819</v>
      </c>
      <c r="AB889" s="33"/>
      <c r="AC889" s="46">
        <f t="shared" ref="AC889" si="4774">+AA889/H889</f>
        <v>1.1467314913249206E-2</v>
      </c>
      <c r="AD889" s="33"/>
      <c r="AE889" s="33">
        <f t="shared" ref="AE889" si="4775">+AA889/BW889</f>
        <v>1037.2943181818182</v>
      </c>
      <c r="AF889" s="50"/>
      <c r="AG889" s="33"/>
      <c r="AH889" s="33"/>
      <c r="AI889" s="213"/>
      <c r="AJ889" s="50"/>
      <c r="AL889" s="23">
        <f t="shared" ref="AL889" si="4776">+AP889-AP888</f>
        <v>64528</v>
      </c>
      <c r="AM889" s="24"/>
      <c r="AN889" s="24"/>
      <c r="AO889" s="24">
        <v>178263</v>
      </c>
      <c r="AP889" s="24">
        <v>90100000</v>
      </c>
      <c r="AQ889" s="24">
        <v>20336656</v>
      </c>
      <c r="AR889" s="461">
        <f t="shared" ref="AR889" si="4777">+AL889/AP888</f>
        <v>7.166953042685221E-4</v>
      </c>
      <c r="AS889" s="25"/>
      <c r="AT889" s="25"/>
      <c r="AU889" s="24"/>
      <c r="AV889" s="298">
        <f t="shared" ref="AV889" si="4778">+AP889/H889</f>
        <v>1.131883838618339</v>
      </c>
      <c r="AW889" s="298"/>
      <c r="AX889" s="24">
        <f t="shared" ref="AX889" si="4779">+AP889/BW889</f>
        <v>102386.36363636363</v>
      </c>
      <c r="AY889" s="308"/>
      <c r="BA889" s="65">
        <f t="shared" ref="BA889" si="4780">+BC889-BC888</f>
        <v>481270</v>
      </c>
      <c r="BB889" s="66"/>
      <c r="BC889" s="66">
        <v>1093500000</v>
      </c>
      <c r="BD889" s="66"/>
      <c r="BE889" s="66">
        <f t="shared" ref="BE889" si="4781">+D889</f>
        <v>94070</v>
      </c>
      <c r="BF889" s="66"/>
      <c r="BG889" s="144">
        <f t="shared" ref="BG889" si="4782">+BE889/BA889</f>
        <v>0.19546200677374448</v>
      </c>
      <c r="BH889" s="66"/>
      <c r="BI889" s="170"/>
      <c r="BJ889" s="66"/>
      <c r="BK889" s="66"/>
      <c r="BL889" s="66"/>
      <c r="BM889" s="144"/>
      <c r="BN889" s="65">
        <f t="shared" ref="BN889" si="4783">+BC889/BW889</f>
        <v>1242613.6363636365</v>
      </c>
      <c r="BO889" s="66"/>
      <c r="BP889" s="66">
        <f t="shared" ref="BP889" si="4784">+BP888+BE889</f>
        <v>78694830</v>
      </c>
      <c r="BQ889" s="66"/>
      <c r="BR889" s="435">
        <f t="shared" ref="BR889" si="4785">+BP889/BC889</f>
        <v>7.1966008230452669E-2</v>
      </c>
      <c r="BS889" s="66"/>
      <c r="BT889" s="75"/>
      <c r="BU889" s="170"/>
      <c r="BV889" s="1"/>
      <c r="BW889" s="61">
        <f t="shared" si="1544"/>
        <v>880</v>
      </c>
      <c r="BY889" s="59"/>
    </row>
    <row r="890" spans="2:77" x14ac:dyDescent="0.45">
      <c r="B890" s="158">
        <f t="shared" si="3706"/>
        <v>44790</v>
      </c>
      <c r="C890" s="61"/>
      <c r="D890" s="17">
        <v>87108</v>
      </c>
      <c r="E890" s="16"/>
      <c r="F890" s="16"/>
      <c r="G890" s="16"/>
      <c r="H890" s="16">
        <f t="shared" ref="H890" si="4786">+H889+D890</f>
        <v>79688916</v>
      </c>
      <c r="I890" s="16"/>
      <c r="J890" s="436">
        <f t="shared" ref="J890" si="4787">+D890/H889</f>
        <v>1.0942967526566733E-3</v>
      </c>
      <c r="K890" s="16"/>
      <c r="L890" s="16"/>
      <c r="M890" s="16"/>
      <c r="N890" s="16">
        <f t="shared" ref="N890" si="4788">SUM(D884:D890)</f>
        <v>404342</v>
      </c>
      <c r="O890" s="16">
        <f t="shared" ref="O890" si="4789">+H890/BW890</f>
        <v>90452.799091940979</v>
      </c>
      <c r="P890" s="41"/>
      <c r="Q890" s="17">
        <f t="shared" ref="Q890" si="4790">SUM(D884:D890)</f>
        <v>404342</v>
      </c>
      <c r="R890" s="16"/>
      <c r="S890" s="60">
        <f t="shared" ref="S890" si="4791">+(Q890-Q883)/Q883</f>
        <v>1.2120150187734668E-2</v>
      </c>
      <c r="T890" s="16"/>
      <c r="U890" s="41"/>
      <c r="V890" s="10">
        <f t="shared" si="558"/>
        <v>782</v>
      </c>
      <c r="W890" s="34">
        <v>461</v>
      </c>
      <c r="X890" s="33">
        <v>4256</v>
      </c>
      <c r="Y890" s="33"/>
      <c r="Z890" s="33">
        <f t="shared" ref="Z890" si="4792">SUM(W885:W890)</f>
        <v>1399</v>
      </c>
      <c r="AA890" s="33">
        <f t="shared" ref="AA890" si="4793">+AA889+W890</f>
        <v>913280</v>
      </c>
      <c r="AB890" s="33"/>
      <c r="AC890" s="46">
        <f t="shared" ref="AC890" si="4794">+AA890/H890</f>
        <v>1.1460564979952795E-2</v>
      </c>
      <c r="AD890" s="33"/>
      <c r="AE890" s="33">
        <f t="shared" ref="AE890" si="4795">+AA890/BW890</f>
        <v>1036.6401816118048</v>
      </c>
      <c r="AF890" s="50"/>
      <c r="AG890" s="33"/>
      <c r="AH890" s="33"/>
      <c r="AI890" s="213"/>
      <c r="AJ890" s="50"/>
      <c r="AL890" s="23">
        <f t="shared" ref="AL890" si="4796">+AP890-AP889</f>
        <v>152317</v>
      </c>
      <c r="AM890" s="24"/>
      <c r="AN890" s="24"/>
      <c r="AO890" s="24">
        <v>178263</v>
      </c>
      <c r="AP890" s="24">
        <v>90252317</v>
      </c>
      <c r="AQ890" s="24">
        <v>20336656</v>
      </c>
      <c r="AR890" s="461">
        <f t="shared" ref="AR890" si="4797">+AL890/AP889</f>
        <v>1.6905327413984461E-3</v>
      </c>
      <c r="AS890" s="25"/>
      <c r="AT890" s="25"/>
      <c r="AU890" s="24"/>
      <c r="AV890" s="298">
        <f t="shared" ref="AV890" si="4798">+AP890/H890</f>
        <v>1.1325579707973441</v>
      </c>
      <c r="AW890" s="298"/>
      <c r="AX890" s="24">
        <f t="shared" ref="AX890" si="4799">+AP890/BW890</f>
        <v>102443.03859250851</v>
      </c>
      <c r="AY890" s="308"/>
      <c r="BA890" s="65">
        <f t="shared" ref="BA890" si="4800">+BC890-BC889</f>
        <v>810685</v>
      </c>
      <c r="BB890" s="66"/>
      <c r="BC890" s="66">
        <v>1094310685</v>
      </c>
      <c r="BD890" s="66"/>
      <c r="BE890" s="66">
        <f t="shared" ref="BE890" si="4801">+D890</f>
        <v>87108</v>
      </c>
      <c r="BF890" s="66"/>
      <c r="BG890" s="144">
        <f t="shared" ref="BG890" si="4802">+BE890/BA890</f>
        <v>0.10744987263857109</v>
      </c>
      <c r="BH890" s="66"/>
      <c r="BI890" s="170"/>
      <c r="BJ890" s="66"/>
      <c r="BK890" s="66"/>
      <c r="BL890" s="66"/>
      <c r="BM890" s="144"/>
      <c r="BN890" s="65">
        <f t="shared" ref="BN890" si="4803">+BC890/BW890</f>
        <v>1242123.3654937572</v>
      </c>
      <c r="BO890" s="66"/>
      <c r="BP890" s="66">
        <f t="shared" ref="BP890" si="4804">+BP889+BE890</f>
        <v>78781938</v>
      </c>
      <c r="BQ890" s="66"/>
      <c r="BR890" s="435">
        <f t="shared" ref="BR890" si="4805">+BP890/BC890</f>
        <v>7.1992295314195889E-2</v>
      </c>
      <c r="BS890" s="66"/>
      <c r="BT890" s="75"/>
      <c r="BU890" s="170"/>
      <c r="BV890" s="1"/>
      <c r="BW890" s="61">
        <f t="shared" si="1544"/>
        <v>881</v>
      </c>
      <c r="BY890" s="59"/>
    </row>
    <row r="891" spans="2:77" x14ac:dyDescent="0.45">
      <c r="B891" s="158">
        <f t="shared" si="3706"/>
        <v>44791</v>
      </c>
      <c r="C891" s="61"/>
      <c r="D891" s="17">
        <v>68979</v>
      </c>
      <c r="E891" s="16"/>
      <c r="F891" s="16"/>
      <c r="G891" s="16"/>
      <c r="H891" s="16">
        <f t="shared" ref="H891" si="4806">+H890+D891</f>
        <v>79757895</v>
      </c>
      <c r="I891" s="16"/>
      <c r="J891" s="436">
        <f t="shared" ref="J891" si="4807">+D891/H890</f>
        <v>8.6560344226542117E-4</v>
      </c>
      <c r="K891" s="16"/>
      <c r="L891" s="16"/>
      <c r="M891" s="16"/>
      <c r="N891" s="16">
        <f t="shared" ref="N891" si="4808">SUM(D885:D891)</f>
        <v>394176</v>
      </c>
      <c r="O891" s="16">
        <f t="shared" ref="O891" si="4809">+H891/BW891</f>
        <v>90428.452380952382</v>
      </c>
      <c r="P891" s="41"/>
      <c r="Q891" s="17">
        <f t="shared" ref="Q891" si="4810">SUM(D885:D891)</f>
        <v>394176</v>
      </c>
      <c r="R891" s="16"/>
      <c r="S891" s="60">
        <f t="shared" ref="S891" si="4811">+(Q891-Q884)/Q884</f>
        <v>4.6898576730149671E-3</v>
      </c>
      <c r="T891" s="16"/>
      <c r="U891" s="41"/>
      <c r="V891" s="10">
        <f t="shared" si="558"/>
        <v>783</v>
      </c>
      <c r="W891" s="34">
        <v>264</v>
      </c>
      <c r="X891" s="33">
        <v>4256</v>
      </c>
      <c r="Y891" s="33"/>
      <c r="Z891" s="33">
        <f t="shared" ref="Z891" si="4812">SUM(W886:W891)</f>
        <v>1328</v>
      </c>
      <c r="AA891" s="33">
        <f t="shared" ref="AA891" si="4813">+AA890+W891</f>
        <v>913544</v>
      </c>
      <c r="AB891" s="33"/>
      <c r="AC891" s="46">
        <f t="shared" ref="AC891" si="4814">+AA891/H891</f>
        <v>1.1453963272225276E-2</v>
      </c>
      <c r="AD891" s="33"/>
      <c r="AE891" s="33">
        <f t="shared" ref="AE891" si="4815">+AA891/BW891</f>
        <v>1035.764172335601</v>
      </c>
      <c r="AF891" s="50"/>
      <c r="AG891" s="33"/>
      <c r="AH891" s="33"/>
      <c r="AI891" s="213"/>
      <c r="AJ891" s="50"/>
      <c r="AL891" s="23">
        <f t="shared" ref="AL891" si="4816">+AP891-AP890</f>
        <v>158328</v>
      </c>
      <c r="AM891" s="24"/>
      <c r="AN891" s="24"/>
      <c r="AO891" s="24">
        <v>178263</v>
      </c>
      <c r="AP891" s="24">
        <v>90410645</v>
      </c>
      <c r="AQ891" s="24">
        <v>20336656</v>
      </c>
      <c r="AR891" s="461">
        <f t="shared" ref="AR891" si="4817">+AL891/AP890</f>
        <v>1.754281831900227E-3</v>
      </c>
      <c r="AS891" s="25"/>
      <c r="AT891" s="25"/>
      <c r="AU891" s="24"/>
      <c r="AV891" s="298">
        <f t="shared" ref="AV891" si="4818">+AP891/H891</f>
        <v>1.1335635801320985</v>
      </c>
      <c r="AW891" s="298"/>
      <c r="AX891" s="24">
        <f t="shared" ref="AX891" si="4819">+AP891/BW891</f>
        <v>102506.40022675737</v>
      </c>
      <c r="AY891" s="308"/>
      <c r="BA891" s="65">
        <f t="shared" ref="BA891" si="4820">+BC891-BC890</f>
        <v>550064</v>
      </c>
      <c r="BB891" s="66"/>
      <c r="BC891" s="66">
        <v>1094860749</v>
      </c>
      <c r="BD891" s="66"/>
      <c r="BE891" s="66">
        <f t="shared" ref="BE891" si="4821">+D891</f>
        <v>68979</v>
      </c>
      <c r="BF891" s="66"/>
      <c r="BG891" s="144">
        <f t="shared" ref="BG891" si="4822">+BE891/BA891</f>
        <v>0.12540177143023357</v>
      </c>
      <c r="BH891" s="66"/>
      <c r="BI891" s="170"/>
      <c r="BJ891" s="66"/>
      <c r="BK891" s="66"/>
      <c r="BL891" s="66"/>
      <c r="BM891" s="144"/>
      <c r="BN891" s="65">
        <f t="shared" ref="BN891" si="4823">+BC891/BW891</f>
        <v>1241338.7176870748</v>
      </c>
      <c r="BO891" s="66"/>
      <c r="BP891" s="66">
        <f t="shared" ref="BP891" si="4824">+BP890+BE891</f>
        <v>78850917</v>
      </c>
      <c r="BQ891" s="66"/>
      <c r="BR891" s="435">
        <f t="shared" ref="BR891" si="4825">+BP891/BC891</f>
        <v>7.2019128525722675E-2</v>
      </c>
      <c r="BS891" s="66"/>
      <c r="BT891" s="75"/>
      <c r="BU891" s="170"/>
      <c r="BV891" s="1"/>
      <c r="BW891" s="61">
        <f t="shared" si="1544"/>
        <v>882</v>
      </c>
      <c r="BY891" s="59"/>
    </row>
    <row r="892" spans="2:77" x14ac:dyDescent="0.45">
      <c r="B892" s="158">
        <f t="shared" si="3706"/>
        <v>44792</v>
      </c>
      <c r="C892" s="61"/>
      <c r="D892" s="17">
        <v>75697</v>
      </c>
      <c r="E892" s="16"/>
      <c r="F892" s="16"/>
      <c r="G892" s="16"/>
      <c r="H892" s="16">
        <f t="shared" ref="H892" si="4826">+H891+D892</f>
        <v>79833592</v>
      </c>
      <c r="I892" s="16"/>
      <c r="J892" s="436">
        <f t="shared" ref="J892" si="4827">+D892/H891</f>
        <v>9.4908472697279684E-4</v>
      </c>
      <c r="K892" s="16"/>
      <c r="L892" s="16"/>
      <c r="M892" s="16"/>
      <c r="N892" s="16">
        <f t="shared" ref="N892" si="4828">SUM(D886:D892)</f>
        <v>384757</v>
      </c>
      <c r="O892" s="16">
        <f t="shared" ref="O892" si="4829">+H892/BW892</f>
        <v>90411.768969422425</v>
      </c>
      <c r="P892" s="41"/>
      <c r="Q892" s="17">
        <f t="shared" ref="Q892" si="4830">SUM(D886:D892)</f>
        <v>384757</v>
      </c>
      <c r="R892" s="16"/>
      <c r="S892" s="60">
        <f t="shared" ref="S892" si="4831">+(Q892-Q885)/Q885</f>
        <v>-8.8997764108270736E-3</v>
      </c>
      <c r="T892" s="16"/>
      <c r="U892" s="41"/>
      <c r="V892" s="10">
        <f t="shared" si="558"/>
        <v>784</v>
      </c>
      <c r="W892" s="34">
        <v>326</v>
      </c>
      <c r="X892" s="33">
        <v>4256</v>
      </c>
      <c r="Y892" s="33"/>
      <c r="Z892" s="33">
        <f t="shared" ref="Z892" si="4832">SUM(W887:W892)</f>
        <v>1623</v>
      </c>
      <c r="AA892" s="33">
        <f t="shared" ref="AA892" si="4833">+AA891+W892</f>
        <v>913870</v>
      </c>
      <c r="AB892" s="33"/>
      <c r="AC892" s="46">
        <f t="shared" ref="AC892" si="4834">+AA892/H892</f>
        <v>1.1447186292206419E-2</v>
      </c>
      <c r="AD892" s="33"/>
      <c r="AE892" s="33">
        <f t="shared" ref="AE892" si="4835">+AA892/BW892</f>
        <v>1034.960362400906</v>
      </c>
      <c r="AF892" s="50"/>
      <c r="AG892" s="33"/>
      <c r="AH892" s="33"/>
      <c r="AI892" s="213"/>
      <c r="AJ892" s="50"/>
      <c r="AL892" s="23">
        <f t="shared" ref="AL892" si="4836">+AP892-AP891</f>
        <v>144617</v>
      </c>
      <c r="AM892" s="24"/>
      <c r="AN892" s="24"/>
      <c r="AO892" s="24">
        <v>178263</v>
      </c>
      <c r="AP892" s="24">
        <v>90555262</v>
      </c>
      <c r="AQ892" s="24">
        <v>20336656</v>
      </c>
      <c r="AR892" s="461">
        <f t="shared" ref="AR892" si="4837">+AL892/AP891</f>
        <v>1.599557220280864E-3</v>
      </c>
      <c r="AS892" s="25"/>
      <c r="AT892" s="25"/>
      <c r="AU892" s="24"/>
      <c r="AV892" s="298">
        <f t="shared" ref="AV892" si="4838">+AP892/H892</f>
        <v>1.1343002329144853</v>
      </c>
      <c r="AW892" s="298"/>
      <c r="AX892" s="24">
        <f t="shared" ref="AX892" si="4839">+AP892/BW892</f>
        <v>102554.0906002265</v>
      </c>
      <c r="AY892" s="308"/>
      <c r="BA892" s="65">
        <f t="shared" ref="BA892" si="4840">+BC892-BC891</f>
        <v>1162540</v>
      </c>
      <c r="BB892" s="66"/>
      <c r="BC892" s="66">
        <v>1096023289</v>
      </c>
      <c r="BD892" s="66"/>
      <c r="BE892" s="66">
        <f t="shared" ref="BE892" si="4841">+D892</f>
        <v>75697</v>
      </c>
      <c r="BF892" s="66"/>
      <c r="BG892" s="144">
        <f t="shared" ref="BG892" si="4842">+BE892/BA892</f>
        <v>6.5113458461644333E-2</v>
      </c>
      <c r="BH892" s="66"/>
      <c r="BI892" s="170"/>
      <c r="BJ892" s="66"/>
      <c r="BK892" s="66"/>
      <c r="BL892" s="66"/>
      <c r="BM892" s="144"/>
      <c r="BN892" s="65">
        <f t="shared" ref="BN892" si="4843">+BC892/BW892</f>
        <v>1241249.4779161948</v>
      </c>
      <c r="BO892" s="66"/>
      <c r="BP892" s="66">
        <f t="shared" ref="BP892" si="4844">+BP891+BE892</f>
        <v>78926614</v>
      </c>
      <c r="BQ892" s="66"/>
      <c r="BR892" s="435">
        <f t="shared" ref="BR892" si="4845">+BP892/BC892</f>
        <v>7.2011803756480211E-2</v>
      </c>
      <c r="BS892" s="66"/>
      <c r="BT892" s="75"/>
      <c r="BU892" s="170"/>
      <c r="BV892" s="1"/>
      <c r="BW892" s="61">
        <f t="shared" si="1544"/>
        <v>883</v>
      </c>
      <c r="BY892" s="59"/>
    </row>
    <row r="893" spans="2:77" x14ac:dyDescent="0.45">
      <c r="B893" s="158">
        <f t="shared" si="3706"/>
        <v>44793</v>
      </c>
      <c r="C893" s="61"/>
      <c r="D893" s="17">
        <v>6190</v>
      </c>
      <c r="E893" s="16"/>
      <c r="F893" s="16"/>
      <c r="G893" s="16"/>
      <c r="H893" s="16">
        <f t="shared" ref="H893" si="4846">+H892+D893</f>
        <v>79839782</v>
      </c>
      <c r="I893" s="16"/>
      <c r="J893" s="436">
        <f t="shared" ref="J893" si="4847">+D893/H892</f>
        <v>7.7536283222731601E-5</v>
      </c>
      <c r="K893" s="16"/>
      <c r="L893" s="16"/>
      <c r="M893" s="16"/>
      <c r="N893" s="16">
        <f t="shared" ref="N893" si="4848">SUM(D887:D893)</f>
        <v>378824</v>
      </c>
      <c r="O893" s="16">
        <f t="shared" ref="O893" si="4849">+H893/BW893</f>
        <v>90316.495475113115</v>
      </c>
      <c r="P893" s="41"/>
      <c r="Q893" s="17">
        <f t="shared" ref="Q893" si="4850">SUM(D887:D893)</f>
        <v>378824</v>
      </c>
      <c r="R893" s="16"/>
      <c r="S893" s="60">
        <f t="shared" ref="S893" si="4851">+(Q893-Q886)/Q886</f>
        <v>-2.0635667492231249E-2</v>
      </c>
      <c r="T893" s="16"/>
      <c r="U893" s="41"/>
      <c r="V893" s="10">
        <f t="shared" si="558"/>
        <v>785</v>
      </c>
      <c r="W893" s="34">
        <v>40</v>
      </c>
      <c r="X893" s="33">
        <v>4256</v>
      </c>
      <c r="Y893" s="33"/>
      <c r="Z893" s="33">
        <f t="shared" ref="Z893" si="4852">SUM(W888:W893)</f>
        <v>1653</v>
      </c>
      <c r="AA893" s="33">
        <f t="shared" ref="AA893" si="4853">+AA892+W893</f>
        <v>913910</v>
      </c>
      <c r="AB893" s="33"/>
      <c r="AC893" s="46">
        <f t="shared" ref="AC893" si="4854">+AA893/H893</f>
        <v>1.1446799792113662E-2</v>
      </c>
      <c r="AD893" s="33"/>
      <c r="AE893" s="33">
        <f t="shared" ref="AE893" si="4855">+AA893/BW893</f>
        <v>1033.8348416289593</v>
      </c>
      <c r="AF893" s="50"/>
      <c r="AG893" s="33"/>
      <c r="AH893" s="33"/>
      <c r="AI893" s="213"/>
      <c r="AJ893" s="50"/>
      <c r="AL893" s="23">
        <f t="shared" ref="AL893" si="4856">+AP893-AP892</f>
        <v>75822</v>
      </c>
      <c r="AM893" s="24"/>
      <c r="AN893" s="24"/>
      <c r="AO893" s="24">
        <v>178263</v>
      </c>
      <c r="AP893" s="24">
        <v>90631084</v>
      </c>
      <c r="AQ893" s="24">
        <v>20336656</v>
      </c>
      <c r="AR893" s="461">
        <f t="shared" ref="AR893" si="4857">+AL893/AP892</f>
        <v>8.3730087380234181E-4</v>
      </c>
      <c r="AS893" s="25"/>
      <c r="AT893" s="25"/>
      <c r="AU893" s="24"/>
      <c r="AV893" s="298">
        <f t="shared" ref="AV893" si="4858">+AP893/H893</f>
        <v>1.1351619672508624</v>
      </c>
      <c r="AW893" s="298"/>
      <c r="AX893" s="24">
        <f t="shared" ref="AX893" si="4859">+AP893/BW893</f>
        <v>102523.85067873303</v>
      </c>
      <c r="AY893" s="308"/>
      <c r="BA893" s="65">
        <f t="shared" ref="BA893" si="4860">+BC893-BC892</f>
        <v>9804</v>
      </c>
      <c r="BB893" s="66"/>
      <c r="BC893" s="66">
        <v>1096033093</v>
      </c>
      <c r="BD893" s="66"/>
      <c r="BE893" s="66">
        <f t="shared" ref="BE893" si="4861">+D893</f>
        <v>6190</v>
      </c>
      <c r="BF893" s="66"/>
      <c r="BG893" s="144">
        <f t="shared" ref="BG893" si="4862">+BE893/BA893</f>
        <v>0.63137494900040803</v>
      </c>
      <c r="BH893" s="66"/>
      <c r="BI893" s="170"/>
      <c r="BJ893" s="66"/>
      <c r="BK893" s="66"/>
      <c r="BL893" s="66"/>
      <c r="BM893" s="144"/>
      <c r="BN893" s="65">
        <f t="shared" ref="BN893" si="4863">+BC893/BW893</f>
        <v>1239856.4400452489</v>
      </c>
      <c r="BO893" s="66"/>
      <c r="BP893" s="66">
        <f t="shared" ref="BP893" si="4864">+BP892+BE893</f>
        <v>78932804</v>
      </c>
      <c r="BQ893" s="66"/>
      <c r="BR893" s="435">
        <f t="shared" ref="BR893" si="4865">+BP893/BC893</f>
        <v>7.2016807251640169E-2</v>
      </c>
      <c r="BS893" s="66"/>
      <c r="BT893" s="75"/>
      <c r="BU893" s="170"/>
      <c r="BV893" s="1"/>
      <c r="BW893" s="61">
        <f t="shared" si="1544"/>
        <v>884</v>
      </c>
      <c r="BY893" s="59"/>
    </row>
    <row r="894" spans="2:77" x14ac:dyDescent="0.45">
      <c r="B894" s="347">
        <f t="shared" si="3706"/>
        <v>44794</v>
      </c>
      <c r="C894" s="61"/>
      <c r="D894" s="17">
        <v>9260</v>
      </c>
      <c r="E894" s="16"/>
      <c r="F894" s="16"/>
      <c r="G894" s="16"/>
      <c r="H894" s="16">
        <f t="shared" ref="H894" si="4866">+H893+D894</f>
        <v>79849042</v>
      </c>
      <c r="I894" s="16"/>
      <c r="J894" s="436">
        <f t="shared" ref="J894" si="4867">+D894/H893</f>
        <v>1.1598228061294055E-4</v>
      </c>
      <c r="K894" s="16"/>
      <c r="L894" s="16"/>
      <c r="M894" s="16"/>
      <c r="N894" s="16">
        <f t="shared" ref="N894" si="4868">SUM(D888:D894)</f>
        <v>378869</v>
      </c>
      <c r="O894" s="16">
        <f t="shared" ref="O894" si="4869">+H894/BW894</f>
        <v>90224.906214689268</v>
      </c>
      <c r="P894" s="41"/>
      <c r="Q894" s="17">
        <f t="shared" ref="Q894" si="4870">SUM(D888:D894)</f>
        <v>378869</v>
      </c>
      <c r="R894" s="16"/>
      <c r="S894" s="60">
        <f t="shared" ref="S894" si="4871">+(Q894-Q887)/Q887</f>
        <v>-1.201121324727818E-2</v>
      </c>
      <c r="T894" s="16"/>
      <c r="U894" s="41"/>
      <c r="V894" s="10">
        <f t="shared" si="558"/>
        <v>786</v>
      </c>
      <c r="W894" s="34">
        <v>10</v>
      </c>
      <c r="X894" s="33">
        <v>4256</v>
      </c>
      <c r="Y894" s="33"/>
      <c r="Z894" s="33">
        <f t="shared" ref="Z894" si="4872">SUM(W889:W894)</f>
        <v>1551</v>
      </c>
      <c r="AA894" s="33">
        <f t="shared" ref="AA894" si="4873">+AA893+W894</f>
        <v>913920</v>
      </c>
      <c r="AB894" s="33"/>
      <c r="AC894" s="46">
        <f t="shared" ref="AC894" si="4874">+AA894/H894</f>
        <v>1.1445597556449081E-2</v>
      </c>
      <c r="AD894" s="33"/>
      <c r="AE894" s="33">
        <f t="shared" ref="AE894" si="4875">+AA894/BW894</f>
        <v>1032.6779661016949</v>
      </c>
      <c r="AF894" s="50"/>
      <c r="AG894" s="33"/>
      <c r="AH894" s="33"/>
      <c r="AI894" s="213"/>
      <c r="AJ894" s="50"/>
      <c r="AL894" s="23">
        <f t="shared" ref="AL894" si="4876">+AP894-AP893</f>
        <v>150924</v>
      </c>
      <c r="AM894" s="24"/>
      <c r="AN894" s="24"/>
      <c r="AO894" s="24">
        <v>178263</v>
      </c>
      <c r="AP894" s="24">
        <v>90782008</v>
      </c>
      <c r="AQ894" s="24">
        <v>20336656</v>
      </c>
      <c r="AR894" s="461">
        <f t="shared" ref="AR894" si="4877">+AL894/AP893</f>
        <v>1.6652564808780175E-3</v>
      </c>
      <c r="AS894" s="25"/>
      <c r="AT894" s="25"/>
      <c r="AU894" s="24"/>
      <c r="AV894" s="298">
        <f t="shared" ref="AV894" si="4878">+AP894/H894</f>
        <v>1.1369204404481146</v>
      </c>
      <c r="AW894" s="298"/>
      <c r="AX894" s="24">
        <f t="shared" ref="AX894" si="4879">+AP894/BW894</f>
        <v>102578.54011299435</v>
      </c>
      <c r="AY894" s="308"/>
      <c r="BA894" s="65">
        <f t="shared" ref="BA894" si="4880">+BC894-BC893</f>
        <v>152518</v>
      </c>
      <c r="BB894" s="66"/>
      <c r="BC894" s="66">
        <v>1096185611</v>
      </c>
      <c r="BD894" s="66"/>
      <c r="BE894" s="66">
        <f t="shared" ref="BE894" si="4881">+D894</f>
        <v>9260</v>
      </c>
      <c r="BF894" s="66"/>
      <c r="BG894" s="144">
        <f t="shared" ref="BG894" si="4882">+BE894/BA894</f>
        <v>6.0714145215646678E-2</v>
      </c>
      <c r="BH894" s="66"/>
      <c r="BI894" s="170"/>
      <c r="BJ894" s="66"/>
      <c r="BK894" s="66"/>
      <c r="BL894" s="66"/>
      <c r="BM894" s="144"/>
      <c r="BN894" s="65">
        <f t="shared" ref="BN894" si="4883">+BC894/BW894</f>
        <v>1238627.809039548</v>
      </c>
      <c r="BO894" s="66"/>
      <c r="BP894" s="66">
        <f t="shared" ref="BP894" si="4884">+BP893+BE894</f>
        <v>78942064</v>
      </c>
      <c r="BQ894" s="66"/>
      <c r="BR894" s="435">
        <f t="shared" ref="BR894" si="4885">+BP894/BC894</f>
        <v>7.2015234653540802E-2</v>
      </c>
      <c r="BS894" s="66"/>
      <c r="BT894" s="75"/>
      <c r="BU894" s="170"/>
      <c r="BV894" s="1"/>
      <c r="BW894" s="61">
        <f t="shared" si="1544"/>
        <v>885</v>
      </c>
      <c r="BY894" s="59"/>
    </row>
    <row r="895" spans="2:77" x14ac:dyDescent="0.45">
      <c r="B895" s="158">
        <f t="shared" si="3706"/>
        <v>44795</v>
      </c>
      <c r="C895" s="61"/>
      <c r="D895" s="17">
        <v>35173</v>
      </c>
      <c r="E895" s="16"/>
      <c r="F895" s="16"/>
      <c r="G895" s="16"/>
      <c r="H895" s="16">
        <f t="shared" ref="H895" si="4886">+H894+D895</f>
        <v>79884215</v>
      </c>
      <c r="I895" s="16"/>
      <c r="J895" s="436">
        <f t="shared" ref="J895" si="4887">+D895/H894</f>
        <v>4.4049370060069099E-4</v>
      </c>
      <c r="K895" s="16"/>
      <c r="L895" s="16"/>
      <c r="M895" s="16"/>
      <c r="N895" s="16">
        <f t="shared" ref="N895" si="4888">SUM(D889:D895)</f>
        <v>376477</v>
      </c>
      <c r="O895" s="16">
        <f t="shared" ref="O895" si="4889">+H895/BW895</f>
        <v>90162.770880361175</v>
      </c>
      <c r="P895" s="41"/>
      <c r="Q895" s="17">
        <f t="shared" ref="Q895" si="4890">SUM(D889:D895)</f>
        <v>376477</v>
      </c>
      <c r="R895" s="16"/>
      <c r="S895" s="60">
        <f t="shared" ref="S895" si="4891">+(Q895-Q888)/Q888</f>
        <v>-1.1673657595704095E-3</v>
      </c>
      <c r="T895" s="16"/>
      <c r="U895" s="41"/>
      <c r="V895" s="10">
        <f t="shared" si="558"/>
        <v>787</v>
      </c>
      <c r="W895" s="34">
        <v>112</v>
      </c>
      <c r="X895" s="33">
        <v>4256</v>
      </c>
      <c r="Y895" s="33"/>
      <c r="Z895" s="33">
        <f t="shared" ref="Z895" si="4892">SUM(W890:W895)</f>
        <v>1213</v>
      </c>
      <c r="AA895" s="33">
        <f t="shared" ref="AA895" si="4893">+AA894+W895</f>
        <v>914032</v>
      </c>
      <c r="AB895" s="33"/>
      <c r="AC895" s="46">
        <f t="shared" ref="AC895" si="4894">+AA895/H895</f>
        <v>1.1441960091865457E-2</v>
      </c>
      <c r="AD895" s="33"/>
      <c r="AE895" s="33">
        <f t="shared" ref="AE895" si="4895">+AA895/BW895</f>
        <v>1031.6388261851016</v>
      </c>
      <c r="AF895" s="50"/>
      <c r="AG895" s="33"/>
      <c r="AH895" s="33"/>
      <c r="AI895" s="213"/>
      <c r="AJ895" s="50"/>
      <c r="AL895" s="23">
        <f t="shared" ref="AL895" si="4896">+AP895-AP894</f>
        <v>111143</v>
      </c>
      <c r="AM895" s="24"/>
      <c r="AN895" s="24"/>
      <c r="AO895" s="24">
        <v>178263</v>
      </c>
      <c r="AP895" s="24">
        <v>90893151</v>
      </c>
      <c r="AQ895" s="24">
        <v>20336656</v>
      </c>
      <c r="AR895" s="461">
        <f t="shared" ref="AR895" si="4897">+AL895/AP894</f>
        <v>1.2242844419127631E-3</v>
      </c>
      <c r="AS895" s="25"/>
      <c r="AT895" s="25"/>
      <c r="AU895" s="24"/>
      <c r="AV895" s="298">
        <f t="shared" ref="AV895" si="4898">+AP895/H895</f>
        <v>1.1378111558084409</v>
      </c>
      <c r="AW895" s="298"/>
      <c r="AX895" s="24">
        <f t="shared" ref="AX895" si="4899">+AP895/BW895</f>
        <v>102588.2065462754</v>
      </c>
      <c r="AY895" s="308"/>
      <c r="BA895" s="65">
        <f t="shared" ref="BA895" si="4900">+BC895-BC894</f>
        <v>537138</v>
      </c>
      <c r="BB895" s="66"/>
      <c r="BC895" s="66">
        <v>1096722749</v>
      </c>
      <c r="BD895" s="66"/>
      <c r="BE895" s="66">
        <f t="shared" ref="BE895" si="4901">+D895</f>
        <v>35173</v>
      </c>
      <c r="BF895" s="66"/>
      <c r="BG895" s="144">
        <f t="shared" ref="BG895" si="4902">+BE895/BA895</f>
        <v>6.5482241062818122E-2</v>
      </c>
      <c r="BH895" s="66"/>
      <c r="BI895" s="170"/>
      <c r="BJ895" s="66"/>
      <c r="BK895" s="66"/>
      <c r="BL895" s="66"/>
      <c r="BM895" s="144"/>
      <c r="BN895" s="65">
        <f t="shared" ref="BN895" si="4903">+BC895/BW895</f>
        <v>1237836.0598194131</v>
      </c>
      <c r="BO895" s="66"/>
      <c r="BP895" s="66">
        <f t="shared" ref="BP895" si="4904">+BP894+BE895</f>
        <v>78977237</v>
      </c>
      <c r="BQ895" s="66"/>
      <c r="BR895" s="435">
        <f t="shared" ref="BR895" si="4905">+BP895/BC895</f>
        <v>7.2012035012506151E-2</v>
      </c>
      <c r="BS895" s="66"/>
      <c r="BT895" s="75"/>
      <c r="BU895" s="170"/>
      <c r="BV895" s="1"/>
      <c r="BW895" s="61">
        <f t="shared" si="1544"/>
        <v>886</v>
      </c>
      <c r="BY895" s="59"/>
    </row>
    <row r="896" spans="2:77" x14ac:dyDescent="0.45">
      <c r="B896" s="158">
        <f t="shared" si="3706"/>
        <v>44796</v>
      </c>
      <c r="C896" s="61"/>
      <c r="D896" s="17">
        <v>53456</v>
      </c>
      <c r="E896" s="16"/>
      <c r="F896" s="16"/>
      <c r="G896" s="16"/>
      <c r="H896" s="16">
        <f t="shared" ref="H896" si="4906">+H895+D896</f>
        <v>79937671</v>
      </c>
      <c r="I896" s="16"/>
      <c r="J896" s="436">
        <f t="shared" ref="J896" si="4907">+D896/H895</f>
        <v>6.6916849592876392E-4</v>
      </c>
      <c r="K896" s="16"/>
      <c r="L896" s="16"/>
      <c r="M896" s="16"/>
      <c r="N896" s="16">
        <f t="shared" ref="N896" si="4908">SUM(D890:D896)</f>
        <v>335863</v>
      </c>
      <c r="O896" s="16">
        <f t="shared" ref="O896" si="4909">+H896/BW896</f>
        <v>90121.387824126272</v>
      </c>
      <c r="P896" s="41"/>
      <c r="Q896" s="17">
        <f t="shared" ref="Q896" si="4910">SUM(D890:D896)</f>
        <v>335863</v>
      </c>
      <c r="R896" s="16"/>
      <c r="S896" s="60">
        <f t="shared" ref="S896" si="4911">+(Q896-Q889)/Q889</f>
        <v>-0.1863074299115233</v>
      </c>
      <c r="T896" s="16"/>
      <c r="U896" s="41"/>
      <c r="V896" s="10">
        <f t="shared" si="558"/>
        <v>788</v>
      </c>
      <c r="W896" s="34">
        <v>294</v>
      </c>
      <c r="X896" s="33">
        <v>4256</v>
      </c>
      <c r="Y896" s="33"/>
      <c r="Z896" s="33">
        <f t="shared" ref="Z896" si="4912">SUM(W891:W896)</f>
        <v>1046</v>
      </c>
      <c r="AA896" s="33">
        <f t="shared" ref="AA896" si="4913">+AA895+W896</f>
        <v>914326</v>
      </c>
      <c r="AB896" s="33"/>
      <c r="AC896" s="46">
        <f t="shared" ref="AC896" si="4914">+AA896/H896</f>
        <v>1.1437986478240028E-2</v>
      </c>
      <c r="AD896" s="33"/>
      <c r="AE896" s="33">
        <f t="shared" ref="AE896" si="4915">+AA896/BW896</f>
        <v>1030.8072153325818</v>
      </c>
      <c r="AF896" s="50"/>
      <c r="AG896" s="33"/>
      <c r="AH896" s="33"/>
      <c r="AI896" s="213"/>
      <c r="AJ896" s="50"/>
      <c r="AL896" s="23">
        <f t="shared" ref="AL896" si="4916">+AP896-AP895</f>
        <v>113956</v>
      </c>
      <c r="AM896" s="24"/>
      <c r="AN896" s="24"/>
      <c r="AO896" s="24">
        <v>178263</v>
      </c>
      <c r="AP896" s="24">
        <v>91007107</v>
      </c>
      <c r="AQ896" s="24">
        <v>20336656</v>
      </c>
      <c r="AR896" s="461">
        <f t="shared" ref="AR896" si="4917">+AL896/AP895</f>
        <v>1.2537358287864836E-3</v>
      </c>
      <c r="AS896" s="25"/>
      <c r="AT896" s="25"/>
      <c r="AU896" s="24"/>
      <c r="AV896" s="298">
        <f t="shared" ref="AV896" si="4918">+AP896/H896</f>
        <v>1.1384758382565336</v>
      </c>
      <c r="AW896" s="298"/>
      <c r="AX896" s="24">
        <f t="shared" ref="AX896" si="4919">+AP896/BW896</f>
        <v>102601.02254791431</v>
      </c>
      <c r="AY896" s="308"/>
      <c r="BA896" s="65">
        <f t="shared" ref="BA896" si="4920">+BC896-BC895</f>
        <v>217904</v>
      </c>
      <c r="BB896" s="66"/>
      <c r="BC896" s="66">
        <v>1096940653</v>
      </c>
      <c r="BD896" s="66"/>
      <c r="BE896" s="66">
        <f t="shared" ref="BE896" si="4921">+D896</f>
        <v>53456</v>
      </c>
      <c r="BF896" s="66"/>
      <c r="BG896" s="144">
        <f t="shared" ref="BG896" si="4922">+BE896/BA896</f>
        <v>0.24531903957706147</v>
      </c>
      <c r="BH896" s="66"/>
      <c r="BI896" s="170"/>
      <c r="BJ896" s="66"/>
      <c r="BK896" s="66"/>
      <c r="BL896" s="66"/>
      <c r="BM896" s="144"/>
      <c r="BN896" s="65">
        <f t="shared" ref="BN896" si="4923">+BC896/BW896</f>
        <v>1236686.1927846675</v>
      </c>
      <c r="BO896" s="66"/>
      <c r="BP896" s="66">
        <f t="shared" ref="BP896" si="4924">+BP895+BE896</f>
        <v>79030693</v>
      </c>
      <c r="BQ896" s="66"/>
      <c r="BR896" s="435">
        <f t="shared" ref="BR896" si="4925">+BP896/BC896</f>
        <v>7.2046461933797976E-2</v>
      </c>
      <c r="BS896" s="66"/>
      <c r="BT896" s="75"/>
      <c r="BU896" s="170"/>
      <c r="BV896" s="1"/>
      <c r="BW896" s="61">
        <f t="shared" si="1544"/>
        <v>887</v>
      </c>
      <c r="BY896" s="59"/>
    </row>
    <row r="897" spans="2:77" x14ac:dyDescent="0.45">
      <c r="B897" s="158">
        <f t="shared" si="3706"/>
        <v>44797</v>
      </c>
      <c r="C897" s="61"/>
      <c r="D897" s="17">
        <v>81532</v>
      </c>
      <c r="E897" s="16"/>
      <c r="F897" s="16"/>
      <c r="G897" s="16"/>
      <c r="H897" s="16">
        <f t="shared" ref="H897" si="4926">+H896+D897</f>
        <v>80019203</v>
      </c>
      <c r="I897" s="16"/>
      <c r="J897" s="436">
        <f t="shared" ref="J897" si="4927">+D897/H896</f>
        <v>1.019944651627391E-3</v>
      </c>
      <c r="K897" s="16"/>
      <c r="L897" s="16"/>
      <c r="M897" s="16"/>
      <c r="N897" s="16">
        <f t="shared" ref="N897" si="4928">SUM(D891:D897)</f>
        <v>330287</v>
      </c>
      <c r="O897" s="16">
        <f t="shared" ref="O897" si="4929">+H897/BW897</f>
        <v>90111.715090090089</v>
      </c>
      <c r="P897" s="41"/>
      <c r="Q897" s="17">
        <f t="shared" ref="Q897" si="4930">SUM(D891:D897)</f>
        <v>330287</v>
      </c>
      <c r="R897" s="16"/>
      <c r="S897" s="60">
        <f t="shared" ref="S897" si="4931">+(Q897-Q890)/Q890</f>
        <v>-0.18314941312057614</v>
      </c>
      <c r="T897" s="16"/>
      <c r="U897" s="41"/>
      <c r="V897" s="10">
        <f t="shared" si="558"/>
        <v>789</v>
      </c>
      <c r="W897" s="34">
        <v>369</v>
      </c>
      <c r="X897" s="33">
        <v>4256</v>
      </c>
      <c r="Y897" s="33"/>
      <c r="Z897" s="33">
        <f t="shared" ref="Z897" si="4932">SUM(W892:W897)</f>
        <v>1151</v>
      </c>
      <c r="AA897" s="33">
        <f t="shared" ref="AA897" si="4933">+AA896+W897</f>
        <v>914695</v>
      </c>
      <c r="AB897" s="33"/>
      <c r="AC897" s="46">
        <f t="shared" ref="AC897" si="4934">+AA897/H897</f>
        <v>1.1430943644864846E-2</v>
      </c>
      <c r="AD897" s="33"/>
      <c r="AE897" s="33">
        <f t="shared" ref="AE897" si="4935">+AA897/BW897</f>
        <v>1030.0619369369369</v>
      </c>
      <c r="AF897" s="50"/>
      <c r="AG897" s="33"/>
      <c r="AH897" s="33"/>
      <c r="AI897" s="213"/>
      <c r="AJ897" s="50"/>
      <c r="AL897" s="23">
        <f t="shared" ref="AL897" si="4936">+AP897-AP896</f>
        <v>135682</v>
      </c>
      <c r="AM897" s="24"/>
      <c r="AN897" s="24"/>
      <c r="AO897" s="24">
        <v>178263</v>
      </c>
      <c r="AP897" s="24">
        <v>91142789</v>
      </c>
      <c r="AQ897" s="24">
        <v>20336656</v>
      </c>
      <c r="AR897" s="461">
        <f t="shared" ref="AR897" si="4937">+AL897/AP896</f>
        <v>1.4908945517848402E-3</v>
      </c>
      <c r="AS897" s="25"/>
      <c r="AT897" s="25"/>
      <c r="AU897" s="24"/>
      <c r="AV897" s="298">
        <f t="shared" ref="AV897" si="4938">+AP897/H897</f>
        <v>1.1390114570373815</v>
      </c>
      <c r="AW897" s="298"/>
      <c r="AX897" s="24">
        <f t="shared" ref="AX897" si="4939">+AP897/BW897</f>
        <v>102638.2759009009</v>
      </c>
      <c r="AY897" s="308"/>
      <c r="BA897" s="65">
        <f t="shared" ref="BA897" si="4940">+BC897-BC896</f>
        <v>807127</v>
      </c>
      <c r="BB897" s="66"/>
      <c r="BC897" s="66">
        <v>1097747780</v>
      </c>
      <c r="BD897" s="66"/>
      <c r="BE897" s="66">
        <f t="shared" ref="BE897" si="4941">+D897</f>
        <v>81532</v>
      </c>
      <c r="BF897" s="66"/>
      <c r="BG897" s="144">
        <f t="shared" ref="BG897" si="4942">+BE897/BA897</f>
        <v>0.10101508188921941</v>
      </c>
      <c r="BH897" s="66"/>
      <c r="BI897" s="170"/>
      <c r="BJ897" s="66"/>
      <c r="BK897" s="66"/>
      <c r="BL897" s="66"/>
      <c r="BM897" s="144"/>
      <c r="BN897" s="65">
        <f t="shared" ref="BN897" si="4943">+BC897/BW897</f>
        <v>1236202.454954955</v>
      </c>
      <c r="BO897" s="66"/>
      <c r="BP897" s="66">
        <f t="shared" ref="BP897" si="4944">+BP896+BE897</f>
        <v>79112225</v>
      </c>
      <c r="BQ897" s="66"/>
      <c r="BR897" s="435">
        <f t="shared" ref="BR897" si="4945">+BP897/BC897</f>
        <v>7.2067761321275459E-2</v>
      </c>
      <c r="BS897" s="66"/>
      <c r="BT897" s="75"/>
      <c r="BU897" s="170"/>
      <c r="BV897" s="1"/>
      <c r="BW897" s="61">
        <f t="shared" si="1544"/>
        <v>888</v>
      </c>
      <c r="BY897" s="59"/>
    </row>
    <row r="898" spans="2:77" x14ac:dyDescent="0.45">
      <c r="B898" s="158">
        <f t="shared" si="3706"/>
        <v>44798</v>
      </c>
      <c r="C898" s="61"/>
      <c r="D898" s="17">
        <v>59719</v>
      </c>
      <c r="E898" s="16"/>
      <c r="F898" s="16"/>
      <c r="G898" s="16"/>
      <c r="H898" s="16">
        <f t="shared" ref="H898" si="4946">+H897+D898</f>
        <v>80078922</v>
      </c>
      <c r="I898" s="16"/>
      <c r="J898" s="436">
        <f t="shared" ref="J898" si="4947">+D898/H897</f>
        <v>7.463083580075148E-4</v>
      </c>
      <c r="K898" s="16"/>
      <c r="L898" s="16"/>
      <c r="M898" s="16"/>
      <c r="N898" s="16">
        <f t="shared" ref="N898" si="4948">SUM(D892:D898)</f>
        <v>321027</v>
      </c>
      <c r="O898" s="16">
        <f t="shared" ref="O898" si="4949">+H898/BW898</f>
        <v>90077.527559055117</v>
      </c>
      <c r="P898" s="41"/>
      <c r="Q898" s="17">
        <f t="shared" ref="Q898" si="4950">SUM(D892:D898)</f>
        <v>321027</v>
      </c>
      <c r="R898" s="16"/>
      <c r="S898" s="60">
        <f t="shared" ref="S898" si="4951">+(Q898-Q891)/Q891</f>
        <v>-0.18557446419873355</v>
      </c>
      <c r="T898" s="16"/>
      <c r="U898" s="41"/>
      <c r="V898" s="10">
        <f t="shared" si="558"/>
        <v>790</v>
      </c>
      <c r="W898" s="34">
        <v>245</v>
      </c>
      <c r="X898" s="33">
        <v>4256</v>
      </c>
      <c r="Y898" s="33"/>
      <c r="Z898" s="33">
        <f t="shared" ref="Z898" si="4952">SUM(W893:W898)</f>
        <v>1070</v>
      </c>
      <c r="AA898" s="33">
        <f t="shared" ref="AA898" si="4953">+AA897+W898</f>
        <v>914940</v>
      </c>
      <c r="AB898" s="33"/>
      <c r="AC898" s="46">
        <f t="shared" ref="AC898" si="4954">+AA898/H898</f>
        <v>1.1425478479842674E-2</v>
      </c>
      <c r="AD898" s="33"/>
      <c r="AE898" s="33">
        <f t="shared" ref="AE898" si="4955">+AA898/BW898</f>
        <v>1029.1788526434195</v>
      </c>
      <c r="AF898" s="50"/>
      <c r="AG898" s="33"/>
      <c r="AH898" s="33"/>
      <c r="AI898" s="213"/>
      <c r="AJ898" s="50"/>
      <c r="AL898" s="23">
        <f t="shared" ref="AL898" si="4956">+AP898-AP897</f>
        <v>148149</v>
      </c>
      <c r="AM898" s="24"/>
      <c r="AN898" s="24"/>
      <c r="AO898" s="24">
        <v>178263</v>
      </c>
      <c r="AP898" s="24">
        <v>91290938</v>
      </c>
      <c r="AQ898" s="24">
        <v>20336656</v>
      </c>
      <c r="AR898" s="461">
        <f t="shared" ref="AR898" si="4957">+AL898/AP897</f>
        <v>1.6254604629226345E-3</v>
      </c>
      <c r="AS898" s="25"/>
      <c r="AT898" s="25"/>
      <c r="AU898" s="24"/>
      <c r="AV898" s="298">
        <f t="shared" ref="AV898" si="4958">+AP898/H898</f>
        <v>1.140012074588117</v>
      </c>
      <c r="AW898" s="298"/>
      <c r="AX898" s="24">
        <f t="shared" ref="AX898" si="4959">+AP898/BW898</f>
        <v>102689.4690663667</v>
      </c>
      <c r="AY898" s="308"/>
      <c r="BA898" s="65">
        <f t="shared" ref="BA898" si="4960">+BC898-BC897</f>
        <v>414456</v>
      </c>
      <c r="BB898" s="66"/>
      <c r="BC898" s="66">
        <v>1098162236</v>
      </c>
      <c r="BD898" s="66"/>
      <c r="BE898" s="66">
        <f t="shared" ref="BE898" si="4961">+D898</f>
        <v>59719</v>
      </c>
      <c r="BF898" s="66"/>
      <c r="BG898" s="144">
        <f t="shared" ref="BG898" si="4962">+BE898/BA898</f>
        <v>0.1440900843515355</v>
      </c>
      <c r="BH898" s="66"/>
      <c r="BI898" s="170"/>
      <c r="BJ898" s="66"/>
      <c r="BK898" s="66"/>
      <c r="BL898" s="66"/>
      <c r="BM898" s="144"/>
      <c r="BN898" s="65">
        <f t="shared" ref="BN898" si="4963">+BC898/BW898</f>
        <v>1235278.105736783</v>
      </c>
      <c r="BO898" s="66"/>
      <c r="BP898" s="66">
        <f t="shared" ref="BP898" si="4964">+BP897+BE898</f>
        <v>79171944</v>
      </c>
      <c r="BQ898" s="66"/>
      <c r="BR898" s="435">
        <f t="shared" ref="BR898" si="4965">+BP898/BC898</f>
        <v>7.2094943173769813E-2</v>
      </c>
      <c r="BS898" s="66"/>
      <c r="BT898" s="75"/>
      <c r="BU898" s="170"/>
      <c r="BV898" s="1"/>
      <c r="BW898" s="61">
        <f t="shared" si="1544"/>
        <v>889</v>
      </c>
      <c r="BY898" s="59"/>
    </row>
    <row r="899" spans="2:77" x14ac:dyDescent="0.45">
      <c r="B899" s="158">
        <f t="shared" si="3706"/>
        <v>44799</v>
      </c>
      <c r="C899" s="61"/>
      <c r="D899" s="17">
        <v>63798</v>
      </c>
      <c r="E899" s="16"/>
      <c r="F899" s="16"/>
      <c r="G899" s="16"/>
      <c r="H899" s="16">
        <f t="shared" ref="H899" si="4966">+H898+D899</f>
        <v>80142720</v>
      </c>
      <c r="I899" s="16"/>
      <c r="J899" s="436">
        <f t="shared" ref="J899" si="4967">+D899/H898</f>
        <v>7.9668904633856087E-4</v>
      </c>
      <c r="K899" s="16"/>
      <c r="L899" s="16"/>
      <c r="M899" s="16"/>
      <c r="N899" s="16">
        <f t="shared" ref="N899" si="4968">SUM(D893:D899)</f>
        <v>309128</v>
      </c>
      <c r="O899" s="16">
        <f t="shared" ref="O899" si="4969">+H899/BW899</f>
        <v>90048</v>
      </c>
      <c r="P899" s="41"/>
      <c r="Q899" s="17">
        <f t="shared" ref="Q899" si="4970">SUM(D893:D899)</f>
        <v>309128</v>
      </c>
      <c r="R899" s="16"/>
      <c r="S899" s="60">
        <f t="shared" ref="S899" si="4971">+(Q899-Q892)/Q892</f>
        <v>-0.19656302549401311</v>
      </c>
      <c r="T899" s="16"/>
      <c r="U899" s="41"/>
      <c r="V899" s="10">
        <f t="shared" si="558"/>
        <v>791</v>
      </c>
      <c r="W899" s="34">
        <v>312</v>
      </c>
      <c r="X899" s="33">
        <v>4256</v>
      </c>
      <c r="Y899" s="33"/>
      <c r="Z899" s="33">
        <f t="shared" ref="Z899" si="4972">SUM(W894:W899)</f>
        <v>1342</v>
      </c>
      <c r="AA899" s="33">
        <f t="shared" ref="AA899" si="4973">+AA898+W899</f>
        <v>915252</v>
      </c>
      <c r="AB899" s="33"/>
      <c r="AC899" s="46">
        <f t="shared" ref="AC899" si="4974">+AA899/H899</f>
        <v>1.1420276227210657E-2</v>
      </c>
      <c r="AD899" s="33"/>
      <c r="AE899" s="33">
        <f t="shared" ref="AE899" si="4975">+AA899/BW899</f>
        <v>1028.3730337078653</v>
      </c>
      <c r="AF899" s="50"/>
      <c r="AG899" s="33"/>
      <c r="AH899" s="33"/>
      <c r="AI899" s="213"/>
      <c r="AJ899" s="50"/>
      <c r="AL899" s="23">
        <f t="shared" ref="AL899" si="4976">+AP899-AP898</f>
        <v>128425</v>
      </c>
      <c r="AM899" s="24"/>
      <c r="AN899" s="24"/>
      <c r="AO899" s="24">
        <v>178263</v>
      </c>
      <c r="AP899" s="24">
        <v>91419363</v>
      </c>
      <c r="AQ899" s="24">
        <v>20336656</v>
      </c>
      <c r="AR899" s="461">
        <f t="shared" ref="AR899" si="4977">+AL899/AP898</f>
        <v>1.4067661348818653E-3</v>
      </c>
      <c r="AS899" s="25"/>
      <c r="AT899" s="25"/>
      <c r="AU899" s="24"/>
      <c r="AV899" s="298">
        <f t="shared" ref="AV899" si="4978">+AP899/H899</f>
        <v>1.1407070161831292</v>
      </c>
      <c r="AW899" s="298"/>
      <c r="AX899" s="24">
        <f t="shared" ref="AX899" si="4979">+AP899/BW899</f>
        <v>102718.38539325843</v>
      </c>
      <c r="AY899" s="308"/>
      <c r="BA899" s="65">
        <f t="shared" ref="BA899" si="4980">+BC899-BC898</f>
        <v>1125129</v>
      </c>
      <c r="BB899" s="66"/>
      <c r="BC899" s="66">
        <v>1099287365</v>
      </c>
      <c r="BD899" s="66"/>
      <c r="BE899" s="66">
        <f t="shared" ref="BE899" si="4981">+D899</f>
        <v>63798</v>
      </c>
      <c r="BF899" s="66"/>
      <c r="BG899" s="144">
        <f t="shared" ref="BG899" si="4982">+BE899/BA899</f>
        <v>5.6702831408665139E-2</v>
      </c>
      <c r="BH899" s="66"/>
      <c r="BI899" s="170"/>
      <c r="BJ899" s="66"/>
      <c r="BK899" s="66"/>
      <c r="BL899" s="66"/>
      <c r="BM899" s="144"/>
      <c r="BN899" s="65">
        <f t="shared" ref="BN899" si="4983">+BC899/BW899</f>
        <v>1235154.3426966292</v>
      </c>
      <c r="BO899" s="66"/>
      <c r="BP899" s="66">
        <f t="shared" ref="BP899" si="4984">+BP898+BE899</f>
        <v>79235742</v>
      </c>
      <c r="BQ899" s="66"/>
      <c r="BR899" s="435">
        <f t="shared" ref="BR899" si="4985">+BP899/BC899</f>
        <v>7.2079189230015397E-2</v>
      </c>
      <c r="BS899" s="66"/>
      <c r="BT899" s="75"/>
      <c r="BU899" s="170"/>
      <c r="BV899" s="1"/>
      <c r="BW899" s="61">
        <f t="shared" si="1544"/>
        <v>890</v>
      </c>
      <c r="BY899" s="59"/>
    </row>
    <row r="900" spans="2:77" x14ac:dyDescent="0.45">
      <c r="B900" s="158">
        <f t="shared" si="3706"/>
        <v>44800</v>
      </c>
      <c r="C900" s="61"/>
      <c r="D900" s="17">
        <v>21986</v>
      </c>
      <c r="E900" s="16"/>
      <c r="F900" s="16"/>
      <c r="G900" s="16"/>
      <c r="H900" s="16">
        <f t="shared" ref="H900" si="4986">+H899+D900</f>
        <v>80164706</v>
      </c>
      <c r="I900" s="16"/>
      <c r="J900" s="436">
        <f t="shared" ref="J900" si="4987">+D900/H899</f>
        <v>2.743355853157966E-4</v>
      </c>
      <c r="K900" s="16"/>
      <c r="L900" s="16"/>
      <c r="M900" s="16"/>
      <c r="N900" s="16">
        <f t="shared" ref="N900" si="4988">SUM(D894:D900)</f>
        <v>324924</v>
      </c>
      <c r="O900" s="16">
        <f t="shared" ref="O900" si="4989">+H900/BW900</f>
        <v>89971.611672278334</v>
      </c>
      <c r="P900" s="41"/>
      <c r="Q900" s="17">
        <f t="shared" ref="Q900" si="4990">SUM(D894:D900)</f>
        <v>324924</v>
      </c>
      <c r="R900" s="16"/>
      <c r="S900" s="60">
        <f t="shared" ref="S900" si="4991">+(Q900-Q893)/Q893</f>
        <v>-0.14228243194728951</v>
      </c>
      <c r="T900" s="16"/>
      <c r="U900" s="41"/>
      <c r="V900" s="10">
        <f t="shared" si="558"/>
        <v>792</v>
      </c>
      <c r="W900" s="34">
        <v>81</v>
      </c>
      <c r="X900" s="33">
        <v>4256</v>
      </c>
      <c r="Y900" s="33"/>
      <c r="Z900" s="33">
        <f t="shared" ref="Z900" si="4992">SUM(W895:W900)</f>
        <v>1413</v>
      </c>
      <c r="AA900" s="33">
        <f t="shared" ref="AA900" si="4993">+AA899+W900</f>
        <v>915333</v>
      </c>
      <c r="AB900" s="33"/>
      <c r="AC900" s="46">
        <f t="shared" ref="AC900" si="4994">+AA900/H900</f>
        <v>1.1418154518024429E-2</v>
      </c>
      <c r="AD900" s="33"/>
      <c r="AE900" s="33">
        <f t="shared" ref="AE900" si="4995">+AA900/BW900</f>
        <v>1027.3097643097642</v>
      </c>
      <c r="AF900" s="50"/>
      <c r="AG900" s="33"/>
      <c r="AH900" s="33"/>
      <c r="AI900" s="213"/>
      <c r="AJ900" s="50"/>
      <c r="AL900" s="23">
        <f t="shared" ref="AL900" si="4996">+AP900-AP899</f>
        <v>115350</v>
      </c>
      <c r="AM900" s="24"/>
      <c r="AN900" s="24"/>
      <c r="AO900" s="24">
        <v>178263</v>
      </c>
      <c r="AP900" s="24">
        <v>91534713</v>
      </c>
      <c r="AQ900" s="24">
        <v>20336656</v>
      </c>
      <c r="AR900" s="461">
        <f t="shared" ref="AR900" si="4997">+AL900/AP899</f>
        <v>1.2617677066946967E-3</v>
      </c>
      <c r="AS900" s="25"/>
      <c r="AT900" s="25"/>
      <c r="AU900" s="24"/>
      <c r="AV900" s="298">
        <f t="shared" ref="AV900" si="4998">+AP900/H900</f>
        <v>1.1418330780131596</v>
      </c>
      <c r="AW900" s="298"/>
      <c r="AX900" s="24">
        <f t="shared" ref="AX900" si="4999">+AP900/BW900</f>
        <v>102732.56228956229</v>
      </c>
      <c r="AY900" s="308"/>
      <c r="BA900" s="65">
        <f t="shared" ref="BA900" si="5000">+BC900-BC899</f>
        <v>134318</v>
      </c>
      <c r="BB900" s="66"/>
      <c r="BC900" s="66">
        <v>1099421683</v>
      </c>
      <c r="BD900" s="66"/>
      <c r="BE900" s="66">
        <f t="shared" ref="BE900" si="5001">+D900</f>
        <v>21986</v>
      </c>
      <c r="BF900" s="66"/>
      <c r="BG900" s="144">
        <f t="shared" ref="BG900" si="5002">+BE900/BA900</f>
        <v>0.16368617757858217</v>
      </c>
      <c r="BH900" s="66"/>
      <c r="BI900" s="170"/>
      <c r="BJ900" s="66"/>
      <c r="BK900" s="66"/>
      <c r="BL900" s="66"/>
      <c r="BM900" s="144"/>
      <c r="BN900" s="65">
        <f t="shared" ref="BN900" si="5003">+BC900/BW900</f>
        <v>1233918.8361391695</v>
      </c>
      <c r="BO900" s="66"/>
      <c r="BP900" s="66">
        <f t="shared" ref="BP900" si="5004">+BP899+BE900</f>
        <v>79257728</v>
      </c>
      <c r="BQ900" s="66"/>
      <c r="BR900" s="435">
        <f t="shared" ref="BR900" si="5005">+BP900/BC900</f>
        <v>7.2090380993513656E-2</v>
      </c>
      <c r="BS900" s="66"/>
      <c r="BT900" s="75"/>
      <c r="BU900" s="170"/>
      <c r="BV900" s="1"/>
      <c r="BW900" s="61">
        <f t="shared" si="1544"/>
        <v>891</v>
      </c>
      <c r="BY900" s="59"/>
    </row>
    <row r="901" spans="2:77" x14ac:dyDescent="0.45">
      <c r="B901" s="347">
        <f t="shared" si="3706"/>
        <v>44801</v>
      </c>
      <c r="C901" s="61"/>
      <c r="D901" s="17">
        <v>8451</v>
      </c>
      <c r="E901" s="16"/>
      <c r="F901" s="16"/>
      <c r="G901" s="16"/>
      <c r="H901" s="16">
        <f t="shared" ref="H901" si="5006">+H900+D901</f>
        <v>80173157</v>
      </c>
      <c r="I901" s="16"/>
      <c r="J901" s="436">
        <f t="shared" ref="J901" si="5007">+D901/H900</f>
        <v>1.0542045772612202E-4</v>
      </c>
      <c r="K901" s="16"/>
      <c r="L901" s="16"/>
      <c r="M901" s="16"/>
      <c r="N901" s="16">
        <f t="shared" ref="N901" si="5008">SUM(D895:D901)</f>
        <v>324115</v>
      </c>
      <c r="O901" s="16">
        <f t="shared" ref="O901" si="5009">+H901/BW901</f>
        <v>89880.220852017941</v>
      </c>
      <c r="P901" s="41"/>
      <c r="Q901" s="17">
        <f t="shared" ref="Q901" si="5010">SUM(D895:D901)</f>
        <v>324115</v>
      </c>
      <c r="R901" s="16"/>
      <c r="S901" s="60">
        <f t="shared" ref="S901" si="5011">+(Q901-Q894)/Q894</f>
        <v>-0.14451960968039085</v>
      </c>
      <c r="T901" s="16"/>
      <c r="U901" s="41"/>
      <c r="V901" s="10">
        <f t="shared" si="558"/>
        <v>793</v>
      </c>
      <c r="W901" s="34">
        <v>8</v>
      </c>
      <c r="X901" s="33">
        <v>4256</v>
      </c>
      <c r="Y901" s="33"/>
      <c r="Z901" s="33">
        <f t="shared" ref="Z901" si="5012">SUM(W896:W901)</f>
        <v>1309</v>
      </c>
      <c r="AA901" s="33">
        <f t="shared" ref="AA901" si="5013">+AA900+W901</f>
        <v>915341</v>
      </c>
      <c r="AB901" s="33"/>
      <c r="AC901" s="46">
        <f t="shared" ref="AC901" si="5014">+AA901/H901</f>
        <v>1.1417050721851953E-2</v>
      </c>
      <c r="AD901" s="33"/>
      <c r="AE901" s="33">
        <f t="shared" ref="AE901" si="5015">+AA901/BW901</f>
        <v>1026.1670403587443</v>
      </c>
      <c r="AF901" s="50"/>
      <c r="AG901" s="33"/>
      <c r="AH901" s="33"/>
      <c r="AI901" s="213"/>
      <c r="AJ901" s="50"/>
      <c r="AL901" s="23">
        <f t="shared" ref="AL901" si="5016">+AP901-AP900</f>
        <v>93858</v>
      </c>
      <c r="AM901" s="24"/>
      <c r="AN901" s="24"/>
      <c r="AO901" s="24">
        <v>178263</v>
      </c>
      <c r="AP901" s="24">
        <v>91628571</v>
      </c>
      <c r="AQ901" s="24">
        <v>20336656</v>
      </c>
      <c r="AR901" s="461">
        <f t="shared" ref="AR901" si="5017">+AL901/AP900</f>
        <v>1.0253814856009873E-3</v>
      </c>
      <c r="AS901" s="25"/>
      <c r="AT901" s="25"/>
      <c r="AU901" s="24"/>
      <c r="AV901" s="298">
        <f t="shared" ref="AV901" si="5018">+AP901/H901</f>
        <v>1.1428834092188735</v>
      </c>
      <c r="AW901" s="298"/>
      <c r="AX901" s="24">
        <f t="shared" ref="AX901" si="5019">+AP901/BW901</f>
        <v>102722.61322869956</v>
      </c>
      <c r="AY901" s="308"/>
      <c r="BA901" s="65">
        <f t="shared" ref="BA901" si="5020">+BC901-BC900</f>
        <v>59929</v>
      </c>
      <c r="BB901" s="66"/>
      <c r="BC901" s="66">
        <v>1099481612</v>
      </c>
      <c r="BD901" s="66"/>
      <c r="BE901" s="66">
        <f t="shared" ref="BE901" si="5021">+D901</f>
        <v>8451</v>
      </c>
      <c r="BF901" s="66"/>
      <c r="BG901" s="144">
        <f t="shared" ref="BG901" si="5022">+BE901/BA901</f>
        <v>0.14101686996278931</v>
      </c>
      <c r="BH901" s="66"/>
      <c r="BI901" s="170"/>
      <c r="BJ901" s="66"/>
      <c r="BK901" s="66"/>
      <c r="BL901" s="66"/>
      <c r="BM901" s="144"/>
      <c r="BN901" s="65">
        <f t="shared" ref="BN901" si="5023">+BC901/BW901</f>
        <v>1232602.7040358745</v>
      </c>
      <c r="BO901" s="66"/>
      <c r="BP901" s="66">
        <f t="shared" ref="BP901" si="5024">+BP900+BE901</f>
        <v>79266179</v>
      </c>
      <c r="BQ901" s="66"/>
      <c r="BR901" s="435">
        <f t="shared" ref="BR901" si="5025">+BP901/BC901</f>
        <v>7.2094137941799433E-2</v>
      </c>
      <c r="BS901" s="66"/>
      <c r="BT901" s="75"/>
      <c r="BU901" s="170"/>
      <c r="BV901" s="1"/>
      <c r="BW901" s="61">
        <f t="shared" si="1544"/>
        <v>892</v>
      </c>
      <c r="BY901" s="59"/>
    </row>
    <row r="902" spans="2:77" x14ac:dyDescent="0.45">
      <c r="B902" s="158">
        <f t="shared" si="3706"/>
        <v>44802</v>
      </c>
      <c r="C902" s="61"/>
      <c r="D902" s="17">
        <v>30148</v>
      </c>
      <c r="E902" s="16"/>
      <c r="F902" s="16"/>
      <c r="G902" s="16"/>
      <c r="H902" s="16">
        <f t="shared" ref="H902" si="5026">+H901+D902</f>
        <v>80203305</v>
      </c>
      <c r="I902" s="16"/>
      <c r="J902" s="436">
        <f t="shared" ref="J902" si="5027">+D902/H901</f>
        <v>3.7603608399754048E-4</v>
      </c>
      <c r="K902" s="16"/>
      <c r="L902" s="16"/>
      <c r="M902" s="16"/>
      <c r="N902" s="16">
        <f t="shared" ref="N902" si="5028">SUM(D896:D902)</f>
        <v>319090</v>
      </c>
      <c r="O902" s="16">
        <f t="shared" ref="O902" si="5029">+H902/BW902</f>
        <v>89813.33146696529</v>
      </c>
      <c r="P902" s="41"/>
      <c r="Q902" s="17">
        <f t="shared" ref="Q902" si="5030">SUM(D896:D902)</f>
        <v>319090</v>
      </c>
      <c r="R902" s="16"/>
      <c r="S902" s="60">
        <f t="shared" ref="S902" si="5031">+(Q902-Q895)/Q895</f>
        <v>-0.15243162264892676</v>
      </c>
      <c r="T902" s="16"/>
      <c r="U902" s="41"/>
      <c r="V902" s="10">
        <f t="shared" si="558"/>
        <v>794</v>
      </c>
      <c r="W902" s="34">
        <v>112</v>
      </c>
      <c r="X902" s="33">
        <v>4256</v>
      </c>
      <c r="Y902" s="33"/>
      <c r="Z902" s="33">
        <f t="shared" ref="Z902" si="5032">SUM(W897:W902)</f>
        <v>1127</v>
      </c>
      <c r="AA902" s="33">
        <f t="shared" ref="AA902" si="5033">+AA901+W902</f>
        <v>915453</v>
      </c>
      <c r="AB902" s="33"/>
      <c r="AC902" s="46">
        <f t="shared" ref="AC902" si="5034">+AA902/H902</f>
        <v>1.1414155563788799E-2</v>
      </c>
      <c r="AD902" s="33"/>
      <c r="AE902" s="33">
        <f t="shared" ref="AE902" si="5035">+AA902/BW902</f>
        <v>1025.1433370660695</v>
      </c>
      <c r="AF902" s="50"/>
      <c r="AG902" s="33"/>
      <c r="AH902" s="33"/>
      <c r="AI902" s="213"/>
      <c r="AJ902" s="50"/>
      <c r="AL902" s="23">
        <f t="shared" ref="AL902" si="5036">+AP902-AP901</f>
        <v>130106</v>
      </c>
      <c r="AM902" s="24"/>
      <c r="AN902" s="24"/>
      <c r="AO902" s="24">
        <v>178263</v>
      </c>
      <c r="AP902" s="24">
        <v>91758677</v>
      </c>
      <c r="AQ902" s="24">
        <v>20336656</v>
      </c>
      <c r="AR902" s="461">
        <f t="shared" ref="AR902" si="5037">+AL902/AP901</f>
        <v>1.4199282885247659E-3</v>
      </c>
      <c r="AS902" s="25"/>
      <c r="AT902" s="25"/>
      <c r="AU902" s="24"/>
      <c r="AV902" s="298">
        <f t="shared" ref="AV902" si="5038">+AP902/H902</f>
        <v>1.1440760078403254</v>
      </c>
      <c r="AW902" s="298"/>
      <c r="AX902" s="24">
        <f t="shared" ref="AX902" si="5039">+AP902/BW902</f>
        <v>102753.27771556551</v>
      </c>
      <c r="AY902" s="308"/>
      <c r="BA902" s="65">
        <f t="shared" ref="BA902" si="5040">+BC902-BC901</f>
        <v>491223</v>
      </c>
      <c r="BB902" s="66"/>
      <c r="BC902" s="66">
        <v>1099972835</v>
      </c>
      <c r="BD902" s="66"/>
      <c r="BE902" s="66">
        <f t="shared" ref="BE902" si="5041">+D902</f>
        <v>30148</v>
      </c>
      <c r="BF902" s="66"/>
      <c r="BG902" s="144">
        <f t="shared" ref="BG902" si="5042">+BE902/BA902</f>
        <v>6.1373347746339242E-2</v>
      </c>
      <c r="BH902" s="66"/>
      <c r="BI902" s="170"/>
      <c r="BJ902" s="66"/>
      <c r="BK902" s="66"/>
      <c r="BL902" s="66"/>
      <c r="BM902" s="144"/>
      <c r="BN902" s="65">
        <f t="shared" ref="BN902" si="5043">+BC902/BW902</f>
        <v>1231772.4916013437</v>
      </c>
      <c r="BO902" s="66"/>
      <c r="BP902" s="66">
        <f t="shared" ref="BP902" si="5044">+BP901+BE902</f>
        <v>79296327</v>
      </c>
      <c r="BQ902" s="66"/>
      <c r="BR902" s="435">
        <f t="shared" ref="BR902" si="5045">+BP902/BC902</f>
        <v>7.2089350279273032E-2</v>
      </c>
      <c r="BS902" s="66"/>
      <c r="BT902" s="75"/>
      <c r="BU902" s="170"/>
      <c r="BV902" s="1"/>
      <c r="BW902" s="61">
        <f t="shared" si="1544"/>
        <v>893</v>
      </c>
      <c r="BY902" s="59"/>
    </row>
    <row r="903" spans="2:77" x14ac:dyDescent="0.45">
      <c r="B903" s="158">
        <f t="shared" si="3706"/>
        <v>44803</v>
      </c>
      <c r="C903" s="61"/>
      <c r="D903" s="17">
        <v>117036</v>
      </c>
      <c r="E903" s="16"/>
      <c r="F903" s="16"/>
      <c r="G903" s="16"/>
      <c r="H903" s="16">
        <f t="shared" ref="H903" si="5046">+H902+D903</f>
        <v>80320341</v>
      </c>
      <c r="I903" s="16"/>
      <c r="J903" s="436">
        <f t="shared" ref="J903" si="5047">+D903/H902</f>
        <v>1.4592416110533102E-3</v>
      </c>
      <c r="K903" s="16"/>
      <c r="L903" s="16"/>
      <c r="M903" s="16"/>
      <c r="N903" s="16">
        <f t="shared" ref="N903" si="5048">SUM(D897:D903)</f>
        <v>382670</v>
      </c>
      <c r="O903" s="16">
        <f t="shared" ref="O903" si="5049">+H903/BW903</f>
        <v>89843.781879194634</v>
      </c>
      <c r="P903" s="41"/>
      <c r="Q903" s="17">
        <f t="shared" ref="Q903" si="5050">SUM(D897:D903)</f>
        <v>382670</v>
      </c>
      <c r="R903" s="16"/>
      <c r="S903" s="60">
        <f t="shared" ref="S903" si="5051">+(Q903-Q896)/Q896</f>
        <v>0.13936337137463786</v>
      </c>
      <c r="T903" s="16"/>
      <c r="U903" s="41"/>
      <c r="V903" s="10">
        <f t="shared" si="558"/>
        <v>795</v>
      </c>
      <c r="W903" s="34">
        <v>442</v>
      </c>
      <c r="X903" s="33">
        <v>4256</v>
      </c>
      <c r="Y903" s="33"/>
      <c r="Z903" s="33">
        <f t="shared" ref="Z903" si="5052">SUM(W898:W903)</f>
        <v>1200</v>
      </c>
      <c r="AA903" s="33">
        <f t="shared" ref="AA903" si="5053">+AA902+W903</f>
        <v>915895</v>
      </c>
      <c r="AB903" s="33"/>
      <c r="AC903" s="46">
        <f t="shared" ref="AC903" si="5054">+AA903/H903</f>
        <v>1.1403026787448525E-2</v>
      </c>
      <c r="AD903" s="33"/>
      <c r="AE903" s="33">
        <f t="shared" ref="AE903" si="5055">+AA903/BW903</f>
        <v>1024.4910514541386</v>
      </c>
      <c r="AF903" s="50"/>
      <c r="AG903" s="33"/>
      <c r="AH903" s="33"/>
      <c r="AI903" s="213"/>
      <c r="AJ903" s="50"/>
      <c r="AL903" s="23">
        <f t="shared" ref="AL903" si="5056">+AP903-AP902</f>
        <v>141323</v>
      </c>
      <c r="AM903" s="24"/>
      <c r="AN903" s="24"/>
      <c r="AO903" s="24">
        <v>178263</v>
      </c>
      <c r="AP903" s="24">
        <v>91900000</v>
      </c>
      <c r="AQ903" s="24">
        <v>20336656</v>
      </c>
      <c r="AR903" s="461">
        <f t="shared" ref="AR903" si="5057">+AL903/AP902</f>
        <v>1.54015952082657E-3</v>
      </c>
      <c r="AS903" s="25"/>
      <c r="AT903" s="25"/>
      <c r="AU903" s="24"/>
      <c r="AV903" s="298">
        <f t="shared" ref="AV903" si="5058">+AP903/H903</f>
        <v>1.1441684491852444</v>
      </c>
      <c r="AW903" s="298"/>
      <c r="AX903" s="24">
        <f t="shared" ref="AX903" si="5059">+AP903/BW903</f>
        <v>102796.42058165547</v>
      </c>
      <c r="AY903" s="308"/>
      <c r="BA903" s="65">
        <f t="shared" ref="BA903" si="5060">+BC903-BC902</f>
        <v>500000</v>
      </c>
      <c r="BB903" s="66"/>
      <c r="BC903" s="66">
        <f>+BC902+500000</f>
        <v>1100472835</v>
      </c>
      <c r="BD903" s="66"/>
      <c r="BE903" s="66">
        <f t="shared" ref="BE903" si="5061">+D903</f>
        <v>117036</v>
      </c>
      <c r="BF903" s="66"/>
      <c r="BG903" s="144">
        <f t="shared" ref="BG903" si="5062">+BE903/BA903</f>
        <v>0.234072</v>
      </c>
      <c r="BH903" s="66"/>
      <c r="BI903" s="170"/>
      <c r="BJ903" s="66"/>
      <c r="BK903" s="66"/>
      <c r="BL903" s="66"/>
      <c r="BM903" s="144"/>
      <c r="BN903" s="65">
        <f t="shared" ref="BN903" si="5063">+BC903/BW903</f>
        <v>1230953.9541387025</v>
      </c>
      <c r="BO903" s="66"/>
      <c r="BP903" s="66">
        <f t="shared" ref="BP903" si="5064">+BP902+BE903</f>
        <v>79413363</v>
      </c>
      <c r="BQ903" s="66"/>
      <c r="BR903" s="435">
        <f t="shared" ref="BR903" si="5065">+BP903/BC903</f>
        <v>7.2162947120816487E-2</v>
      </c>
      <c r="BS903" s="66"/>
      <c r="BT903" s="75"/>
      <c r="BU903" s="170"/>
      <c r="BV903" s="1"/>
      <c r="BW903" s="61">
        <f t="shared" si="1544"/>
        <v>894</v>
      </c>
      <c r="BY903" s="59"/>
    </row>
    <row r="904" spans="2:77" x14ac:dyDescent="0.45">
      <c r="B904" s="158">
        <f t="shared" si="3706"/>
        <v>44804</v>
      </c>
      <c r="C904" s="111" t="s">
        <v>26</v>
      </c>
      <c r="D904" s="17">
        <v>71334</v>
      </c>
      <c r="E904" s="16"/>
      <c r="F904" s="16"/>
      <c r="G904" s="16"/>
      <c r="H904" s="16">
        <f t="shared" ref="H904" si="5066">+H903+D904</f>
        <v>80391675</v>
      </c>
      <c r="I904" s="16"/>
      <c r="J904" s="436">
        <f t="shared" ref="J904" si="5067">+D904/H903</f>
        <v>8.8811873943612867E-4</v>
      </c>
      <c r="K904" s="16"/>
      <c r="L904" s="16"/>
      <c r="M904" s="16"/>
      <c r="N904" s="16">
        <f t="shared" ref="N904" si="5068">SUM(D898:D904)</f>
        <v>372472</v>
      </c>
      <c r="O904" s="16">
        <f t="shared" ref="O904" si="5069">+H904/BW904</f>
        <v>89823.100558659222</v>
      </c>
      <c r="P904" s="41"/>
      <c r="Q904" s="17">
        <f t="shared" ref="Q904" si="5070">SUM(D898:D904)</f>
        <v>372472</v>
      </c>
      <c r="R904" s="16"/>
      <c r="S904" s="60">
        <f t="shared" ref="S904" si="5071">+(Q904-Q897)/Q897</f>
        <v>0.12772225367634815</v>
      </c>
      <c r="T904" s="16"/>
      <c r="U904" s="41"/>
      <c r="V904" s="10">
        <f t="shared" si="558"/>
        <v>796</v>
      </c>
      <c r="W904" s="34">
        <v>403</v>
      </c>
      <c r="X904" s="33">
        <v>4256</v>
      </c>
      <c r="Y904" s="33"/>
      <c r="Z904" s="33">
        <f t="shared" ref="Z904" si="5072">SUM(W899:W904)</f>
        <v>1358</v>
      </c>
      <c r="AA904" s="33">
        <f t="shared" ref="AA904" si="5073">+AA903+W904</f>
        <v>916298</v>
      </c>
      <c r="AB904" s="33"/>
      <c r="AC904" s="46">
        <f t="shared" ref="AC904" si="5074">+AA904/H904</f>
        <v>1.1397921488761118E-2</v>
      </c>
      <c r="AD904" s="33"/>
      <c r="AE904" s="33">
        <f t="shared" ref="AE904" si="5075">+AA904/BW904</f>
        <v>1023.7966480446927</v>
      </c>
      <c r="AF904" s="50"/>
      <c r="AG904" s="33"/>
      <c r="AH904" s="33"/>
      <c r="AI904" s="213"/>
      <c r="AJ904" s="50"/>
      <c r="AL904" s="23">
        <f t="shared" ref="AL904" si="5076">+AP904-AP903</f>
        <v>123741</v>
      </c>
      <c r="AM904" s="24"/>
      <c r="AN904" s="24"/>
      <c r="AO904" s="24">
        <v>178263</v>
      </c>
      <c r="AP904" s="24">
        <v>92023741</v>
      </c>
      <c r="AQ904" s="24">
        <v>20336656</v>
      </c>
      <c r="AR904" s="461">
        <f t="shared" ref="AR904" si="5077">+AL904/AP903</f>
        <v>1.346474428726877E-3</v>
      </c>
      <c r="AS904" s="25"/>
      <c r="AT904" s="25"/>
      <c r="AU904" s="24"/>
      <c r="AV904" s="298">
        <f t="shared" ref="AV904" si="5078">+AP904/H904</f>
        <v>1.1446924199551758</v>
      </c>
      <c r="AW904" s="298"/>
      <c r="AX904" s="24">
        <f t="shared" ref="AX904" si="5079">+AP904/BW904</f>
        <v>102819.82234636872</v>
      </c>
      <c r="AY904" s="308"/>
      <c r="BA904" s="65">
        <f t="shared" ref="BA904" si="5080">+BC904-BC903</f>
        <v>589647</v>
      </c>
      <c r="BB904" s="66"/>
      <c r="BC904" s="66">
        <v>1101062482</v>
      </c>
      <c r="BD904" s="66"/>
      <c r="BE904" s="66">
        <f t="shared" ref="BE904" si="5081">+D904</f>
        <v>71334</v>
      </c>
      <c r="BF904" s="66"/>
      <c r="BG904" s="144">
        <f t="shared" ref="BG904" si="5082">+BE904/BA904</f>
        <v>0.12097746617891722</v>
      </c>
      <c r="BH904" s="66"/>
      <c r="BI904" s="170"/>
      <c r="BJ904" s="66"/>
      <c r="BK904" s="66"/>
      <c r="BL904" s="66"/>
      <c r="BM904" s="144"/>
      <c r="BN904" s="65">
        <f t="shared" ref="BN904" si="5083">+BC904/BW904</f>
        <v>1230237.410055866</v>
      </c>
      <c r="BO904" s="66"/>
      <c r="BP904" s="66">
        <f t="shared" ref="BP904" si="5084">+BP903+BE904</f>
        <v>79484697</v>
      </c>
      <c r="BQ904" s="66"/>
      <c r="BR904" s="435">
        <f t="shared" ref="BR904" si="5085">+BP904/BC904</f>
        <v>7.2189088538937254E-2</v>
      </c>
      <c r="BS904" s="66"/>
      <c r="BT904" s="75"/>
      <c r="BU904" s="170"/>
      <c r="BV904" s="1"/>
      <c r="BW904" s="61">
        <f t="shared" si="1544"/>
        <v>895</v>
      </c>
      <c r="BY904" s="59"/>
    </row>
    <row r="905" spans="2:77" x14ac:dyDescent="0.45">
      <c r="B905" s="158">
        <f t="shared" si="3706"/>
        <v>44805</v>
      </c>
      <c r="C905" s="61"/>
      <c r="D905" s="17">
        <v>65815</v>
      </c>
      <c r="E905" s="16"/>
      <c r="F905" s="16"/>
      <c r="G905" s="16"/>
      <c r="H905" s="16">
        <f t="shared" ref="H905" si="5086">+H904+D905</f>
        <v>80457490</v>
      </c>
      <c r="I905" s="16"/>
      <c r="J905" s="436">
        <f t="shared" ref="J905" si="5087">+D905/H904</f>
        <v>8.1867929732773947E-4</v>
      </c>
      <c r="K905" s="16"/>
      <c r="L905" s="16"/>
      <c r="M905" s="16"/>
      <c r="N905" s="16">
        <f t="shared" ref="N905" si="5088">SUM(D899:D905)</f>
        <v>378568</v>
      </c>
      <c r="O905" s="16">
        <f t="shared" ref="O905" si="5089">+H905/BW905</f>
        <v>89796.305803571435</v>
      </c>
      <c r="P905" s="41"/>
      <c r="Q905" s="17">
        <f t="shared" ref="Q905" si="5090">SUM(D899:D905)</f>
        <v>378568</v>
      </c>
      <c r="R905" s="16"/>
      <c r="S905" s="60">
        <f t="shared" ref="S905" si="5091">+(Q905-Q898)/Q898</f>
        <v>0.17924037542013599</v>
      </c>
      <c r="T905" s="16"/>
      <c r="U905" s="41"/>
      <c r="V905" s="10">
        <f t="shared" ref="V905:V908" si="5092">+V904+1</f>
        <v>797</v>
      </c>
      <c r="W905" s="34">
        <v>272</v>
      </c>
      <c r="X905" s="33">
        <v>4256</v>
      </c>
      <c r="Y905" s="33"/>
      <c r="Z905" s="33">
        <f t="shared" ref="Z905" si="5093">SUM(W900:W905)</f>
        <v>1318</v>
      </c>
      <c r="AA905" s="33">
        <f t="shared" ref="AA905" si="5094">+AA904+W905</f>
        <v>916570</v>
      </c>
      <c r="AB905" s="33"/>
      <c r="AC905" s="46">
        <f t="shared" ref="AC905" si="5095">+AA905/H905</f>
        <v>1.1391978546683472E-2</v>
      </c>
      <c r="AD905" s="33"/>
      <c r="AE905" s="33">
        <f t="shared" ref="AE905" si="5096">+AA905/BW905</f>
        <v>1022.9575892857143</v>
      </c>
      <c r="AF905" s="50"/>
      <c r="AG905" s="33"/>
      <c r="AH905" s="33"/>
      <c r="AI905" s="213"/>
      <c r="AJ905" s="50"/>
      <c r="AL905" s="23">
        <f t="shared" ref="AL905" si="5097">+AP905-AP904</f>
        <v>148533</v>
      </c>
      <c r="AM905" s="24"/>
      <c r="AN905" s="24"/>
      <c r="AO905" s="24">
        <v>178263</v>
      </c>
      <c r="AP905" s="24">
        <v>92172274</v>
      </c>
      <c r="AQ905" s="24">
        <v>20336656</v>
      </c>
      <c r="AR905" s="461">
        <f t="shared" ref="AR905" si="5098">+AL905/AP904</f>
        <v>1.6140726119795543E-3</v>
      </c>
      <c r="AS905" s="25"/>
      <c r="AT905" s="25"/>
      <c r="AU905" s="24"/>
      <c r="AV905" s="298">
        <f t="shared" ref="AV905" si="5099">+AP905/H905</f>
        <v>1.14560215587138</v>
      </c>
      <c r="AW905" s="298"/>
      <c r="AX905" s="24">
        <f t="shared" ref="AX905" si="5100">+AP905/BW905</f>
        <v>102870.84151785714</v>
      </c>
      <c r="AY905" s="308"/>
      <c r="BA905" s="65">
        <f t="shared" ref="BA905" si="5101">+BC905-BC904</f>
        <v>498064</v>
      </c>
      <c r="BB905" s="66"/>
      <c r="BC905" s="66">
        <v>1101560546</v>
      </c>
      <c r="BD905" s="66"/>
      <c r="BE905" s="66">
        <f t="shared" ref="BE905" si="5102">+D905</f>
        <v>65815</v>
      </c>
      <c r="BF905" s="66"/>
      <c r="BG905" s="144">
        <f t="shared" ref="BG905" si="5103">+BE905/BA905</f>
        <v>0.13214165247839635</v>
      </c>
      <c r="BH905" s="66"/>
      <c r="BI905" s="170"/>
      <c r="BJ905" s="66"/>
      <c r="BK905" s="66"/>
      <c r="BL905" s="66"/>
      <c r="BM905" s="144"/>
      <c r="BN905" s="65">
        <f t="shared" ref="BN905" si="5104">+BC905/BW905</f>
        <v>1229420.252232143</v>
      </c>
      <c r="BO905" s="66"/>
      <c r="BP905" s="66">
        <f t="shared" ref="BP905" si="5105">+BP904+BE905</f>
        <v>79550512</v>
      </c>
      <c r="BQ905" s="66"/>
      <c r="BR905" s="435">
        <f t="shared" ref="BR905" si="5106">+BP905/BC905</f>
        <v>7.2216195731469132E-2</v>
      </c>
      <c r="BS905" s="66"/>
      <c r="BT905" s="75"/>
      <c r="BU905" s="170"/>
      <c r="BV905" s="1"/>
      <c r="BW905" s="61">
        <f t="shared" si="1544"/>
        <v>896</v>
      </c>
      <c r="BY905" s="59"/>
    </row>
    <row r="906" spans="2:77" x14ac:dyDescent="0.45">
      <c r="B906" s="158">
        <f t="shared" si="3706"/>
        <v>44806</v>
      </c>
      <c r="C906" s="61"/>
      <c r="D906" s="17">
        <v>61991</v>
      </c>
      <c r="E906" s="16"/>
      <c r="F906" s="16"/>
      <c r="G906" s="16"/>
      <c r="H906" s="16">
        <f t="shared" ref="H906" si="5107">+H905+D906</f>
        <v>80519481</v>
      </c>
      <c r="I906" s="16"/>
      <c r="J906" s="436">
        <f t="shared" ref="J906" si="5108">+D906/H905</f>
        <v>7.7048140577092321E-4</v>
      </c>
      <c r="K906" s="16"/>
      <c r="L906" s="16"/>
      <c r="M906" s="16"/>
      <c r="N906" s="16">
        <f t="shared" ref="N906" si="5109">SUM(D900:D906)</f>
        <v>376761</v>
      </c>
      <c r="O906" s="16">
        <f t="shared" ref="O906" si="5110">+H906/BW906</f>
        <v>89765.307692307688</v>
      </c>
      <c r="P906" s="41"/>
      <c r="Q906" s="17">
        <f t="shared" ref="Q906" si="5111">SUM(D900:D906)</f>
        <v>376761</v>
      </c>
      <c r="R906" s="16"/>
      <c r="S906" s="60">
        <f t="shared" ref="S906" si="5112">+(Q906-Q899)/Q899</f>
        <v>0.21878639269170053</v>
      </c>
      <c r="T906" s="16"/>
      <c r="U906" s="41"/>
      <c r="V906" s="10">
        <f t="shared" si="5092"/>
        <v>798</v>
      </c>
      <c r="W906" s="34">
        <v>308</v>
      </c>
      <c r="X906" s="33">
        <v>4256</v>
      </c>
      <c r="Y906" s="33"/>
      <c r="Z906" s="33">
        <f t="shared" ref="Z906" si="5113">SUM(W901:W906)</f>
        <v>1545</v>
      </c>
      <c r="AA906" s="33">
        <f t="shared" ref="AA906" si="5114">+AA905+W906</f>
        <v>916878</v>
      </c>
      <c r="AB906" s="33"/>
      <c r="AC906" s="46">
        <f t="shared" ref="AC906" si="5115">+AA906/H906</f>
        <v>1.1387033157851577E-2</v>
      </c>
      <c r="AD906" s="33"/>
      <c r="AE906" s="33">
        <f t="shared" ref="AE906" si="5116">+AA906/BW906</f>
        <v>1022.1605351170568</v>
      </c>
      <c r="AF906" s="50"/>
      <c r="AG906" s="33"/>
      <c r="AH906" s="33"/>
      <c r="AI906" s="213"/>
      <c r="AJ906" s="50"/>
      <c r="AL906" s="23">
        <f t="shared" ref="AL906" si="5117">+AP906-AP905</f>
        <v>115729</v>
      </c>
      <c r="AM906" s="24"/>
      <c r="AN906" s="24"/>
      <c r="AO906" s="24">
        <v>178263</v>
      </c>
      <c r="AP906" s="24">
        <v>92288003</v>
      </c>
      <c r="AQ906" s="24">
        <v>20336656</v>
      </c>
      <c r="AR906" s="461">
        <f t="shared" ref="AR906" si="5118">+AL906/AP905</f>
        <v>1.2555727983883744E-3</v>
      </c>
      <c r="AS906" s="25"/>
      <c r="AT906" s="25"/>
      <c r="AU906" s="24"/>
      <c r="AV906" s="298">
        <f t="shared" ref="AV906" si="5119">+AP906/H906</f>
        <v>1.1461574497729314</v>
      </c>
      <c r="AW906" s="298"/>
      <c r="AX906" s="24">
        <f t="shared" ref="AX906" si="5120">+AP906/BW906</f>
        <v>102885.17614269788</v>
      </c>
      <c r="AY906" s="308"/>
      <c r="BA906" s="65">
        <f t="shared" ref="BA906" si="5121">+BC906-BC905</f>
        <v>1138394</v>
      </c>
      <c r="BB906" s="66"/>
      <c r="BC906" s="66">
        <v>1102698940</v>
      </c>
      <c r="BD906" s="66"/>
      <c r="BE906" s="66">
        <f t="shared" ref="BE906" si="5122">+D906</f>
        <v>61991</v>
      </c>
      <c r="BF906" s="66"/>
      <c r="BG906" s="144">
        <f t="shared" ref="BG906" si="5123">+BE906/BA906</f>
        <v>5.4454784547353551E-2</v>
      </c>
      <c r="BH906" s="66"/>
      <c r="BI906" s="170"/>
      <c r="BJ906" s="66"/>
      <c r="BK906" s="66"/>
      <c r="BL906" s="66"/>
      <c r="BM906" s="144"/>
      <c r="BN906" s="65">
        <f t="shared" ref="BN906" si="5124">+BC906/BW906</f>
        <v>1229318.7736900779</v>
      </c>
      <c r="BO906" s="66"/>
      <c r="BP906" s="66">
        <f t="shared" ref="BP906" si="5125">+BP905+BE906</f>
        <v>79612503</v>
      </c>
      <c r="BQ906" s="66"/>
      <c r="BR906" s="435">
        <f t="shared" ref="BR906" si="5126">+BP906/BC906</f>
        <v>7.2197859372205436E-2</v>
      </c>
      <c r="BS906" s="66"/>
      <c r="BT906" s="75"/>
      <c r="BU906" s="170"/>
      <c r="BV906" s="1"/>
      <c r="BW906" s="61">
        <f t="shared" si="1544"/>
        <v>897</v>
      </c>
      <c r="BY906" s="59"/>
    </row>
    <row r="907" spans="2:77" x14ac:dyDescent="0.45">
      <c r="B907" s="158">
        <f t="shared" si="3706"/>
        <v>44807</v>
      </c>
      <c r="C907" s="61"/>
      <c r="D907" s="17">
        <v>24142</v>
      </c>
      <c r="E907" s="16"/>
      <c r="F907" s="16"/>
      <c r="G907" s="16"/>
      <c r="H907" s="16">
        <f t="shared" ref="H907" si="5127">+H906+D907</f>
        <v>80543623</v>
      </c>
      <c r="I907" s="16"/>
      <c r="J907" s="436">
        <f t="shared" ref="J907" si="5128">+D907/H906</f>
        <v>2.9982806272683255E-4</v>
      </c>
      <c r="K907" s="16"/>
      <c r="L907" s="16"/>
      <c r="M907" s="16"/>
      <c r="N907" s="16">
        <f t="shared" ref="N907" si="5129">SUM(D901:D907)</f>
        <v>378917</v>
      </c>
      <c r="O907" s="16">
        <f t="shared" ref="O907" si="5130">+H907/BW907</f>
        <v>89692.230512249444</v>
      </c>
      <c r="P907" s="41"/>
      <c r="Q907" s="17">
        <f t="shared" ref="Q907" si="5131">SUM(D901:D907)</f>
        <v>378917</v>
      </c>
      <c r="R907" s="16"/>
      <c r="S907" s="60">
        <f t="shared" ref="S907" si="5132">+(Q907-Q900)/Q900</f>
        <v>0.16617116618039912</v>
      </c>
      <c r="T907" s="16"/>
      <c r="U907" s="41"/>
      <c r="V907" s="10">
        <f t="shared" si="5092"/>
        <v>799</v>
      </c>
      <c r="W907" s="34">
        <v>80</v>
      </c>
      <c r="X907" s="33">
        <v>4256</v>
      </c>
      <c r="Y907" s="33"/>
      <c r="Z907" s="33">
        <f t="shared" ref="Z907" si="5133">SUM(W902:W907)</f>
        <v>1617</v>
      </c>
      <c r="AA907" s="33">
        <f t="shared" ref="AA907" si="5134">+AA906+W907</f>
        <v>916958</v>
      </c>
      <c r="AB907" s="33"/>
      <c r="AC907" s="46">
        <f t="shared" ref="AC907" si="5135">+AA907/H907</f>
        <v>1.1384613279688201E-2</v>
      </c>
      <c r="AD907" s="33"/>
      <c r="AE907" s="33">
        <f t="shared" ref="AE907" si="5136">+AA907/BW907</f>
        <v>1021.1113585746102</v>
      </c>
      <c r="AF907" s="50"/>
      <c r="AG907" s="33"/>
      <c r="AH907" s="33"/>
      <c r="AI907" s="213"/>
      <c r="AJ907" s="50"/>
      <c r="AL907" s="23">
        <f t="shared" ref="AL907" si="5137">+AP907-AP906</f>
        <v>101558</v>
      </c>
      <c r="AM907" s="24"/>
      <c r="AN907" s="24"/>
      <c r="AO907" s="24">
        <v>178263</v>
      </c>
      <c r="AP907" s="24">
        <v>92389561</v>
      </c>
      <c r="AQ907" s="24">
        <v>20336656</v>
      </c>
      <c r="AR907" s="461">
        <f t="shared" ref="AR907" si="5138">+AL907/AP906</f>
        <v>1.1004463927992893E-3</v>
      </c>
      <c r="AS907" s="25"/>
      <c r="AT907" s="25"/>
      <c r="AU907" s="24"/>
      <c r="AV907" s="298">
        <f t="shared" ref="AV907" si="5139">+AP907/H907</f>
        <v>1.1470748093862131</v>
      </c>
      <c r="AW907" s="298"/>
      <c r="AX907" s="24">
        <f t="shared" ref="AX907" si="5140">+AP907/BW907</f>
        <v>102883.69821826281</v>
      </c>
      <c r="AY907" s="308"/>
      <c r="BA907" s="65">
        <f t="shared" ref="BA907" si="5141">+BC907-BC906</f>
        <v>72560</v>
      </c>
      <c r="BB907" s="66"/>
      <c r="BC907" s="66">
        <v>1102771500</v>
      </c>
      <c r="BD907" s="66"/>
      <c r="BE907" s="66">
        <f t="shared" ref="BE907" si="5142">+D907</f>
        <v>24142</v>
      </c>
      <c r="BF907" s="66"/>
      <c r="BG907" s="144">
        <f t="shared" ref="BG907" si="5143">+BE907/BA907</f>
        <v>0.33271775082690186</v>
      </c>
      <c r="BH907" s="66"/>
      <c r="BI907" s="170"/>
      <c r="BJ907" s="66"/>
      <c r="BK907" s="66"/>
      <c r="BL907" s="66"/>
      <c r="BM907" s="144"/>
      <c r="BN907" s="65">
        <f t="shared" ref="BN907" si="5144">+BC907/BW907</f>
        <v>1228030.6236080178</v>
      </c>
      <c r="BO907" s="66"/>
      <c r="BP907" s="66">
        <f t="shared" ref="BP907" si="5145">+BP906+BE907</f>
        <v>79636645</v>
      </c>
      <c r="BQ907" s="66"/>
      <c r="BR907" s="435">
        <f t="shared" ref="BR907" si="5146">+BP907/BC907</f>
        <v>7.2215001022423952E-2</v>
      </c>
      <c r="BS907" s="66"/>
      <c r="BT907" s="75"/>
      <c r="BU907" s="170"/>
      <c r="BV907" s="1"/>
      <c r="BW907" s="61">
        <f t="shared" si="1544"/>
        <v>898</v>
      </c>
      <c r="BY907" s="59"/>
    </row>
    <row r="908" spans="2:77" x14ac:dyDescent="0.45">
      <c r="B908" s="347">
        <f t="shared" si="3706"/>
        <v>44808</v>
      </c>
      <c r="C908" s="61"/>
      <c r="D908" s="17">
        <v>8455</v>
      </c>
      <c r="E908" s="16"/>
      <c r="F908" s="16"/>
      <c r="G908" s="16"/>
      <c r="H908" s="16">
        <f t="shared" ref="H908" si="5147">+H907+D908</f>
        <v>80552078</v>
      </c>
      <c r="I908" s="16"/>
      <c r="J908" s="436">
        <f t="shared" ref="J908" si="5148">+D908/H907</f>
        <v>1.0497417033251658E-4</v>
      </c>
      <c r="K908" s="16"/>
      <c r="L908" s="16"/>
      <c r="M908" s="16"/>
      <c r="N908" s="16">
        <f t="shared" ref="N908" si="5149">SUM(D902:D908)</f>
        <v>378921</v>
      </c>
      <c r="O908" s="16">
        <f t="shared" ref="O908" si="5150">+H908/BW908</f>
        <v>89601.866518353723</v>
      </c>
      <c r="P908" s="41"/>
      <c r="Q908" s="17">
        <f t="shared" ref="Q908" si="5151">SUM(D902:D908)</f>
        <v>378921</v>
      </c>
      <c r="R908" s="16"/>
      <c r="S908" s="60">
        <f t="shared" ref="S908" si="5152">+(Q908-Q901)/Q901</f>
        <v>0.16909430294802771</v>
      </c>
      <c r="T908" s="16"/>
      <c r="U908" s="41"/>
      <c r="V908" s="10">
        <f t="shared" si="5092"/>
        <v>800</v>
      </c>
      <c r="W908" s="34">
        <v>10</v>
      </c>
      <c r="X908" s="33">
        <v>4256</v>
      </c>
      <c r="Y908" s="33"/>
      <c r="Z908" s="33">
        <f t="shared" ref="Z908" si="5153">SUM(W903:W908)</f>
        <v>1515</v>
      </c>
      <c r="AA908" s="33">
        <f t="shared" ref="AA908" si="5154">+AA907+W908</f>
        <v>916968</v>
      </c>
      <c r="AB908" s="33"/>
      <c r="AC908" s="46">
        <f t="shared" ref="AC908" si="5155">+AA908/H908</f>
        <v>1.1383542458085314E-2</v>
      </c>
      <c r="AD908" s="33"/>
      <c r="AE908" s="33">
        <f t="shared" ref="AE908" si="5156">+AA908/BW908</f>
        <v>1019.9866518353726</v>
      </c>
      <c r="AF908" s="50"/>
      <c r="AG908" s="33"/>
      <c r="AH908" s="33"/>
      <c r="AI908" s="213"/>
      <c r="AJ908" s="50"/>
      <c r="AL908" s="23">
        <f t="shared" ref="AL908" si="5157">+AP908-AP907</f>
        <v>104622</v>
      </c>
      <c r="AM908" s="24"/>
      <c r="AN908" s="24"/>
      <c r="AO908" s="24">
        <v>178263</v>
      </c>
      <c r="AP908" s="24">
        <v>92494183</v>
      </c>
      <c r="AQ908" s="24">
        <v>20336656</v>
      </c>
      <c r="AR908" s="461">
        <f t="shared" ref="AR908" si="5158">+AL908/AP907</f>
        <v>1.1324006615855658E-3</v>
      </c>
      <c r="AS908" s="25"/>
      <c r="AT908" s="25"/>
      <c r="AU908" s="24"/>
      <c r="AV908" s="298">
        <f t="shared" ref="AV908" si="5159">+AP908/H908</f>
        <v>1.1482532207300722</v>
      </c>
      <c r="AW908" s="298"/>
      <c r="AX908" s="24">
        <f t="shared" ref="AX908" si="5160">+AP908/BW908</f>
        <v>102885.6318131257</v>
      </c>
      <c r="AY908" s="308"/>
      <c r="BA908" s="65">
        <f t="shared" ref="BA908" si="5161">+BC908-BC907</f>
        <v>59309</v>
      </c>
      <c r="BB908" s="66"/>
      <c r="BC908" s="66">
        <v>1102830809</v>
      </c>
      <c r="BD908" s="66"/>
      <c r="BE908" s="66">
        <f t="shared" ref="BE908" si="5162">+D908</f>
        <v>8455</v>
      </c>
      <c r="BF908" s="66"/>
      <c r="BG908" s="144">
        <f t="shared" ref="BG908" si="5163">+BE908/BA908</f>
        <v>0.14255846498845032</v>
      </c>
      <c r="BH908" s="66"/>
      <c r="BI908" s="170"/>
      <c r="BJ908" s="66"/>
      <c r="BK908" s="66"/>
      <c r="BL908" s="66"/>
      <c r="BM908" s="144"/>
      <c r="BN908" s="65">
        <f t="shared" ref="BN908" si="5164">+BC908/BW908</f>
        <v>1226730.5995550612</v>
      </c>
      <c r="BO908" s="66"/>
      <c r="BP908" s="66">
        <f t="shared" ref="BP908" si="5165">+BP907+BE908</f>
        <v>79645100</v>
      </c>
      <c r="BQ908" s="66"/>
      <c r="BR908" s="435">
        <f t="shared" ref="BR908" si="5166">+BP908/BC908</f>
        <v>7.2218784014765405E-2</v>
      </c>
      <c r="BS908" s="66"/>
      <c r="BT908" s="75"/>
      <c r="BU908" s="170"/>
      <c r="BV908" s="1"/>
      <c r="BW908" s="61">
        <f t="shared" si="1544"/>
        <v>899</v>
      </c>
      <c r="BY908" s="59"/>
    </row>
    <row r="909" spans="2:77" x14ac:dyDescent="0.45">
      <c r="B909" s="158">
        <f t="shared" si="3706"/>
        <v>44809</v>
      </c>
      <c r="C909" s="61"/>
      <c r="D909" s="17"/>
      <c r="E909" s="16"/>
      <c r="F909" s="16"/>
      <c r="G909" s="16"/>
      <c r="H909" s="16"/>
      <c r="I909" s="16"/>
      <c r="J909" s="436"/>
      <c r="K909" s="16"/>
      <c r="L909" s="16"/>
      <c r="M909" s="16"/>
      <c r="N909" s="16"/>
      <c r="O909" s="16"/>
      <c r="P909" s="41"/>
      <c r="Q909" s="17"/>
      <c r="R909" s="16"/>
      <c r="S909" s="60"/>
      <c r="T909" s="16"/>
      <c r="U909" s="41"/>
      <c r="V909" s="10"/>
      <c r="W909" s="34"/>
      <c r="X909" s="33"/>
      <c r="Y909" s="33"/>
      <c r="Z909" s="33"/>
      <c r="AA909" s="33"/>
      <c r="AB909" s="33"/>
      <c r="AC909" s="46"/>
      <c r="AD909" s="33"/>
      <c r="AE909" s="33"/>
      <c r="AF909" s="50"/>
      <c r="AG909" s="33"/>
      <c r="AH909" s="33"/>
      <c r="AI909" s="213"/>
      <c r="AJ909" s="50"/>
      <c r="AL909" s="23"/>
      <c r="AM909" s="24"/>
      <c r="AN909" s="24"/>
      <c r="AO909" s="24"/>
      <c r="AP909" s="24"/>
      <c r="AQ909" s="24"/>
      <c r="AR909" s="461"/>
      <c r="AS909" s="25"/>
      <c r="AT909" s="25"/>
      <c r="AU909" s="24"/>
      <c r="AV909" s="298"/>
      <c r="AW909" s="298"/>
      <c r="AX909" s="24"/>
      <c r="AY909" s="308"/>
      <c r="BA909" s="65"/>
      <c r="BB909" s="66"/>
      <c r="BC909" s="66"/>
      <c r="BD909" s="66"/>
      <c r="BE909" s="66"/>
      <c r="BF909" s="66"/>
      <c r="BG909" s="144"/>
      <c r="BH909" s="66"/>
      <c r="BI909" s="170"/>
      <c r="BJ909" s="66"/>
      <c r="BK909" s="66"/>
      <c r="BL909" s="66"/>
      <c r="BM909" s="144"/>
      <c r="BN909" s="65"/>
      <c r="BO909" s="66"/>
      <c r="BP909" s="66"/>
      <c r="BQ909" s="66"/>
      <c r="BR909" s="435"/>
      <c r="BS909" s="66"/>
      <c r="BT909" s="75"/>
      <c r="BU909" s="170"/>
      <c r="BV909" s="1"/>
      <c r="BW909" s="61"/>
      <c r="BY909" s="59"/>
    </row>
    <row r="910" spans="2:77" x14ac:dyDescent="0.45">
      <c r="B910" s="158">
        <f t="shared" si="3706"/>
        <v>44810</v>
      </c>
      <c r="C910" s="61"/>
      <c r="D910" s="17"/>
      <c r="E910" s="16"/>
      <c r="F910" s="16"/>
      <c r="G910" s="16"/>
      <c r="H910" s="16"/>
      <c r="I910" s="16"/>
      <c r="J910" s="436"/>
      <c r="K910" s="16"/>
      <c r="L910" s="16"/>
      <c r="M910" s="16"/>
      <c r="N910" s="16"/>
      <c r="O910" s="16"/>
      <c r="P910" s="41"/>
      <c r="Q910" s="17"/>
      <c r="R910" s="16"/>
      <c r="S910" s="60"/>
      <c r="T910" s="16"/>
      <c r="U910" s="41"/>
      <c r="V910" s="10"/>
      <c r="W910" s="34"/>
      <c r="X910" s="33"/>
      <c r="Y910" s="33"/>
      <c r="Z910" s="33"/>
      <c r="AA910" s="33"/>
      <c r="AB910" s="33"/>
      <c r="AC910" s="46"/>
      <c r="AD910" s="33"/>
      <c r="AE910" s="33"/>
      <c r="AF910" s="50"/>
      <c r="AG910" s="33"/>
      <c r="AH910" s="33"/>
      <c r="AI910" s="213"/>
      <c r="AJ910" s="50"/>
      <c r="AL910" s="23"/>
      <c r="AM910" s="24"/>
      <c r="AN910" s="24"/>
      <c r="AO910" s="24"/>
      <c r="AP910" s="24"/>
      <c r="AQ910" s="24"/>
      <c r="AR910" s="461"/>
      <c r="AS910" s="25"/>
      <c r="AT910" s="25"/>
      <c r="AU910" s="24"/>
      <c r="AV910" s="298"/>
      <c r="AW910" s="298"/>
      <c r="AX910" s="24"/>
      <c r="AY910" s="308"/>
      <c r="BA910" s="65"/>
      <c r="BB910" s="66"/>
      <c r="BC910" s="66"/>
      <c r="BD910" s="66"/>
      <c r="BE910" s="66"/>
      <c r="BF910" s="66"/>
      <c r="BG910" s="144"/>
      <c r="BH910" s="66"/>
      <c r="BI910" s="170"/>
      <c r="BJ910" s="66"/>
      <c r="BK910" s="66"/>
      <c r="BL910" s="66"/>
      <c r="BM910" s="144"/>
      <c r="BN910" s="65"/>
      <c r="BO910" s="66"/>
      <c r="BP910" s="66"/>
      <c r="BQ910" s="66"/>
      <c r="BR910" s="435"/>
      <c r="BS910" s="66"/>
      <c r="BT910" s="75"/>
      <c r="BU910" s="170"/>
      <c r="BV910" s="1"/>
      <c r="BW910" s="61"/>
      <c r="BY910" s="59"/>
    </row>
    <row r="911" spans="2:77" x14ac:dyDescent="0.45">
      <c r="B911" s="158">
        <f t="shared" si="3706"/>
        <v>44811</v>
      </c>
      <c r="C911" s="61"/>
      <c r="D911" s="17"/>
      <c r="E911" s="16"/>
      <c r="F911" s="16"/>
      <c r="G911" s="16"/>
      <c r="H911" s="16"/>
      <c r="I911" s="16"/>
      <c r="J911" s="436"/>
      <c r="K911" s="16"/>
      <c r="L911" s="16"/>
      <c r="M911" s="16"/>
      <c r="N911" s="16"/>
      <c r="O911" s="16"/>
      <c r="P911" s="41"/>
      <c r="Q911" s="410"/>
      <c r="R911" s="16"/>
      <c r="S911" s="60"/>
      <c r="T911" s="16"/>
      <c r="U911" s="41"/>
      <c r="V911" s="10"/>
      <c r="W911" s="34"/>
      <c r="X911" s="33"/>
      <c r="Y911" s="33"/>
      <c r="Z911" s="33"/>
      <c r="AA911" s="33"/>
      <c r="AB911" s="33"/>
      <c r="AC911" s="46"/>
      <c r="AD911" s="33"/>
      <c r="AE911" s="33"/>
      <c r="AF911" s="50"/>
      <c r="AG911" s="33"/>
      <c r="AH911" s="33"/>
      <c r="AI911" s="213"/>
      <c r="AJ911" s="50"/>
      <c r="AK911" s="10"/>
      <c r="AL911" s="23"/>
      <c r="AM911" s="24"/>
      <c r="AN911" s="24"/>
      <c r="AO911" s="24"/>
      <c r="AP911" s="24"/>
      <c r="AQ911" s="24"/>
      <c r="AR911" s="461"/>
      <c r="AS911" s="25"/>
      <c r="AT911" s="25"/>
      <c r="AU911" s="24"/>
      <c r="AV911" s="298"/>
      <c r="AW911" s="298"/>
      <c r="AX911" s="24"/>
      <c r="AY911" s="308"/>
      <c r="AZ911" s="10"/>
      <c r="BA911" s="65"/>
      <c r="BB911" s="66"/>
      <c r="BC911" s="66"/>
      <c r="BD911" s="66"/>
      <c r="BE911" s="66"/>
      <c r="BF911" s="66"/>
      <c r="BG911" s="144"/>
      <c r="BH911" s="66"/>
      <c r="BI911" s="170"/>
      <c r="BJ911" s="66"/>
      <c r="BK911" s="66"/>
      <c r="BL911" s="66"/>
      <c r="BM911" s="144"/>
      <c r="BN911" s="65"/>
      <c r="BO911" s="66"/>
      <c r="BP911" s="66"/>
      <c r="BQ911" s="66"/>
      <c r="BR911" s="435"/>
      <c r="BS911" s="66"/>
      <c r="BT911" s="75"/>
      <c r="BU911" s="170"/>
      <c r="BV911" s="1"/>
      <c r="BW911" s="61"/>
      <c r="BY911" s="59"/>
    </row>
    <row r="912" spans="2:77" x14ac:dyDescent="0.45">
      <c r="B912" s="158">
        <f t="shared" si="3706"/>
        <v>44812</v>
      </c>
      <c r="C912" s="61"/>
      <c r="D912" s="17"/>
      <c r="E912" s="16"/>
      <c r="F912" s="16"/>
      <c r="G912" s="16"/>
      <c r="H912" s="16"/>
      <c r="I912" s="16"/>
      <c r="J912" s="436"/>
      <c r="K912" s="16"/>
      <c r="L912" s="16"/>
      <c r="M912" s="16"/>
      <c r="N912" s="16"/>
      <c r="O912" s="16"/>
      <c r="P912" s="41"/>
      <c r="Q912" s="410"/>
      <c r="R912" s="16"/>
      <c r="S912" s="60"/>
      <c r="T912" s="16"/>
      <c r="U912" s="41"/>
      <c r="V912" s="10"/>
      <c r="W912" s="34"/>
      <c r="X912" s="33"/>
      <c r="Y912" s="33"/>
      <c r="Z912" s="33"/>
      <c r="AA912" s="33"/>
      <c r="AB912" s="33"/>
      <c r="AC912" s="46"/>
      <c r="AD912" s="33"/>
      <c r="AE912" s="33"/>
      <c r="AF912" s="50"/>
      <c r="AG912" s="33"/>
      <c r="AH912" s="33"/>
      <c r="AI912" s="213"/>
      <c r="AJ912" s="50"/>
      <c r="AK912" s="10"/>
      <c r="AL912" s="23"/>
      <c r="AM912" s="24"/>
      <c r="AN912" s="24"/>
      <c r="AO912" s="24"/>
      <c r="AP912" s="24"/>
      <c r="AQ912" s="24"/>
      <c r="AR912" s="461"/>
      <c r="AS912" s="25"/>
      <c r="AT912" s="25"/>
      <c r="AU912" s="24"/>
      <c r="AV912" s="298"/>
      <c r="AW912" s="298"/>
      <c r="AX912" s="24"/>
      <c r="AY912" s="308"/>
      <c r="AZ912" s="10"/>
      <c r="BA912" s="65"/>
      <c r="BB912" s="66"/>
      <c r="BC912" s="66"/>
      <c r="BD912" s="66"/>
      <c r="BE912" s="66"/>
      <c r="BF912" s="66"/>
      <c r="BG912" s="144"/>
      <c r="BH912" s="66"/>
      <c r="BI912" s="170"/>
      <c r="BJ912" s="66"/>
      <c r="BK912" s="66"/>
      <c r="BL912" s="66"/>
      <c r="BM912" s="144"/>
      <c r="BN912" s="65"/>
      <c r="BO912" s="66"/>
      <c r="BP912" s="66"/>
      <c r="BQ912" s="66"/>
      <c r="BR912" s="435"/>
      <c r="BS912" s="66"/>
      <c r="BT912" s="75"/>
      <c r="BU912" s="170"/>
      <c r="BV912" s="1"/>
      <c r="BW912" s="61">
        <f>+BW860+1</f>
        <v>852</v>
      </c>
      <c r="BY912" s="59"/>
    </row>
    <row r="913" spans="2:85" x14ac:dyDescent="0.45">
      <c r="B913" s="158">
        <f t="shared" si="3706"/>
        <v>44813</v>
      </c>
      <c r="D913" s="559"/>
      <c r="E913" s="19"/>
      <c r="F913" s="19"/>
      <c r="G913" s="19"/>
      <c r="H913" s="19"/>
      <c r="I913" s="19"/>
      <c r="J913" s="39"/>
      <c r="K913" s="19"/>
      <c r="L913" s="19"/>
      <c r="M913" s="19"/>
      <c r="N913" s="19"/>
      <c r="O913" s="19"/>
      <c r="P913" s="43"/>
      <c r="Q913" s="18"/>
      <c r="R913" s="19"/>
      <c r="S913" s="19"/>
      <c r="T913" s="19"/>
      <c r="U913" s="43"/>
      <c r="V913" s="1"/>
      <c r="W913" s="35"/>
      <c r="X913" s="36"/>
      <c r="Y913" s="36"/>
      <c r="Z913" s="36"/>
      <c r="AA913" s="36"/>
      <c r="AB913" s="36"/>
      <c r="AC913" s="47"/>
      <c r="AD913" s="36"/>
      <c r="AE913" s="36"/>
      <c r="AF913" s="51"/>
      <c r="AG913" s="36"/>
      <c r="AH913" s="36"/>
      <c r="AI913" s="36"/>
      <c r="AJ913" s="51"/>
      <c r="AK913" s="1"/>
      <c r="AL913" s="26"/>
      <c r="AM913" s="27"/>
      <c r="AN913" s="27"/>
      <c r="AO913" s="27"/>
      <c r="AP913" s="27"/>
      <c r="AQ913" s="27"/>
      <c r="AR913" s="27"/>
      <c r="AS913" s="27"/>
      <c r="AT913" s="27"/>
      <c r="AU913" s="27"/>
      <c r="AV913" s="300"/>
      <c r="AW913" s="300"/>
      <c r="AX913" s="27"/>
      <c r="AY913" s="307"/>
      <c r="AZ913" s="1"/>
      <c r="BA913" s="67"/>
      <c r="BB913" s="68"/>
      <c r="BC913" s="68"/>
      <c r="BD913" s="68"/>
      <c r="BE913" s="68"/>
      <c r="BF913" s="68"/>
      <c r="BG913" s="68"/>
      <c r="BH913" s="68"/>
      <c r="BI913" s="171"/>
      <c r="BJ913" s="68"/>
      <c r="BK913" s="68"/>
      <c r="BL913" s="68"/>
      <c r="BM913" s="68"/>
      <c r="BN913" s="67"/>
      <c r="BO913" s="68"/>
      <c r="BP913" s="68"/>
      <c r="BQ913" s="68"/>
      <c r="BR913" s="70"/>
      <c r="BS913" s="68"/>
      <c r="BT913" s="68"/>
      <c r="BU913" s="171"/>
      <c r="BV913" s="1"/>
      <c r="BW913" s="61">
        <f>+BW832+1</f>
        <v>824</v>
      </c>
    </row>
    <row r="914" spans="2:85" x14ac:dyDescent="0.45">
      <c r="B914" s="56"/>
      <c r="D914" s="1"/>
      <c r="E914" s="1"/>
      <c r="F914" s="1"/>
      <c r="G914" s="1"/>
      <c r="H914" s="59"/>
      <c r="I914" s="1"/>
      <c r="J914" s="5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59"/>
      <c r="X914" s="1"/>
      <c r="Y914" s="1"/>
      <c r="Z914" s="1"/>
      <c r="AA914" s="1"/>
      <c r="AB914" s="1"/>
      <c r="AC914" s="59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59"/>
      <c r="BD914" s="1"/>
      <c r="BE914" s="59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</row>
    <row r="915" spans="2:85" x14ac:dyDescent="0.45">
      <c r="B915" s="166" t="s">
        <v>74</v>
      </c>
      <c r="D915" s="56">
        <f>+D908</f>
        <v>8455</v>
      </c>
      <c r="E915" s="56">
        <f>+E238</f>
        <v>0</v>
      </c>
      <c r="F915" s="56">
        <f>+F238</f>
        <v>0</v>
      </c>
      <c r="G915" s="56">
        <f>+G238</f>
        <v>0</v>
      </c>
      <c r="H915" s="56">
        <f t="shared" ref="H915:BR915" si="5167">+H908</f>
        <v>80552078</v>
      </c>
      <c r="I915" s="56">
        <f t="shared" si="5167"/>
        <v>0</v>
      </c>
      <c r="J915" s="56">
        <f t="shared" si="5167"/>
        <v>1.0497417033251658E-4</v>
      </c>
      <c r="K915" s="56">
        <f t="shared" si="5167"/>
        <v>0</v>
      </c>
      <c r="L915" s="56">
        <f t="shared" si="5167"/>
        <v>0</v>
      </c>
      <c r="M915" s="56">
        <f t="shared" si="5167"/>
        <v>0</v>
      </c>
      <c r="N915" s="56">
        <f t="shared" si="5167"/>
        <v>378921</v>
      </c>
      <c r="O915" s="56">
        <f t="shared" si="5167"/>
        <v>89601.866518353723</v>
      </c>
      <c r="P915" s="56">
        <f t="shared" si="5167"/>
        <v>0</v>
      </c>
      <c r="Q915" s="56">
        <f t="shared" si="5167"/>
        <v>378921</v>
      </c>
      <c r="R915" s="56">
        <f t="shared" si="5167"/>
        <v>0</v>
      </c>
      <c r="S915" s="56">
        <f t="shared" si="5167"/>
        <v>0.16909430294802771</v>
      </c>
      <c r="T915" s="56">
        <f t="shared" si="5167"/>
        <v>0</v>
      </c>
      <c r="U915" s="56">
        <f t="shared" si="5167"/>
        <v>0</v>
      </c>
      <c r="V915" s="56">
        <f t="shared" si="5167"/>
        <v>800</v>
      </c>
      <c r="W915" s="56">
        <f t="shared" si="5167"/>
        <v>10</v>
      </c>
      <c r="X915" s="56">
        <f t="shared" si="5167"/>
        <v>4256</v>
      </c>
      <c r="Y915" s="56">
        <f t="shared" si="5167"/>
        <v>0</v>
      </c>
      <c r="Z915" s="56">
        <f t="shared" si="5167"/>
        <v>1515</v>
      </c>
      <c r="AA915" s="56">
        <f t="shared" si="5167"/>
        <v>916968</v>
      </c>
      <c r="AB915" s="56">
        <f t="shared" si="5167"/>
        <v>0</v>
      </c>
      <c r="AC915" s="56">
        <f t="shared" si="5167"/>
        <v>1.1383542458085314E-2</v>
      </c>
      <c r="AD915" s="56">
        <f t="shared" si="5167"/>
        <v>0</v>
      </c>
      <c r="AE915" s="56">
        <f t="shared" si="5167"/>
        <v>1019.9866518353726</v>
      </c>
      <c r="AF915" s="56">
        <f t="shared" si="5167"/>
        <v>0</v>
      </c>
      <c r="AG915" s="56">
        <f t="shared" si="5167"/>
        <v>0</v>
      </c>
      <c r="AH915" s="56">
        <f t="shared" si="5167"/>
        <v>0</v>
      </c>
      <c r="AI915" s="56">
        <f t="shared" si="5167"/>
        <v>0</v>
      </c>
      <c r="AJ915" s="56">
        <f t="shared" si="5167"/>
        <v>0</v>
      </c>
      <c r="AK915" s="56">
        <f t="shared" si="5167"/>
        <v>0</v>
      </c>
      <c r="AL915" s="56">
        <f t="shared" si="5167"/>
        <v>104622</v>
      </c>
      <c r="AM915" s="56">
        <f t="shared" si="5167"/>
        <v>0</v>
      </c>
      <c r="AN915" s="56">
        <f t="shared" si="5167"/>
        <v>0</v>
      </c>
      <c r="AO915" s="56">
        <f t="shared" si="5167"/>
        <v>178263</v>
      </c>
      <c r="AP915" s="56">
        <f t="shared" si="5167"/>
        <v>92494183</v>
      </c>
      <c r="AQ915" s="56">
        <f t="shared" si="5167"/>
        <v>20336656</v>
      </c>
      <c r="AR915" s="56">
        <f t="shared" si="5167"/>
        <v>1.1324006615855658E-3</v>
      </c>
      <c r="AS915" s="56">
        <f t="shared" si="5167"/>
        <v>0</v>
      </c>
      <c r="AT915" s="56">
        <f t="shared" si="5167"/>
        <v>0</v>
      </c>
      <c r="AU915" s="56">
        <f t="shared" si="5167"/>
        <v>0</v>
      </c>
      <c r="AV915" s="56">
        <f t="shared" si="5167"/>
        <v>1.1482532207300722</v>
      </c>
      <c r="AW915" s="56">
        <f t="shared" si="5167"/>
        <v>0</v>
      </c>
      <c r="AX915" s="56">
        <f t="shared" si="5167"/>
        <v>102885.6318131257</v>
      </c>
      <c r="AY915" s="56">
        <f t="shared" si="5167"/>
        <v>0</v>
      </c>
      <c r="AZ915" s="56">
        <f t="shared" si="5167"/>
        <v>0</v>
      </c>
      <c r="BA915" s="56">
        <f t="shared" si="5167"/>
        <v>59309</v>
      </c>
      <c r="BB915" s="56">
        <f t="shared" si="5167"/>
        <v>0</v>
      </c>
      <c r="BC915" s="56">
        <f t="shared" si="5167"/>
        <v>1102830809</v>
      </c>
      <c r="BD915" s="56">
        <f t="shared" si="5167"/>
        <v>0</v>
      </c>
      <c r="BE915" s="56">
        <f t="shared" si="5167"/>
        <v>8455</v>
      </c>
      <c r="BF915" s="56">
        <f t="shared" si="5167"/>
        <v>0</v>
      </c>
      <c r="BG915" s="56">
        <f t="shared" si="5167"/>
        <v>0.14255846498845032</v>
      </c>
      <c r="BH915" s="56">
        <f t="shared" si="5167"/>
        <v>0</v>
      </c>
      <c r="BI915" s="56">
        <f t="shared" si="5167"/>
        <v>0</v>
      </c>
      <c r="BJ915" s="56">
        <f t="shared" si="5167"/>
        <v>0</v>
      </c>
      <c r="BK915" s="56">
        <f t="shared" si="5167"/>
        <v>0</v>
      </c>
      <c r="BL915" s="56">
        <f t="shared" si="5167"/>
        <v>0</v>
      </c>
      <c r="BM915" s="56">
        <f t="shared" si="5167"/>
        <v>0</v>
      </c>
      <c r="BN915" s="56">
        <f t="shared" si="5167"/>
        <v>1226730.5995550612</v>
      </c>
      <c r="BO915" s="56">
        <f t="shared" si="5167"/>
        <v>0</v>
      </c>
      <c r="BP915" s="56">
        <f t="shared" si="5167"/>
        <v>79645100</v>
      </c>
      <c r="BQ915" s="56">
        <f t="shared" si="5167"/>
        <v>0</v>
      </c>
      <c r="BR915" s="56">
        <f t="shared" si="5167"/>
        <v>7.2218784014765405E-2</v>
      </c>
      <c r="BS915" s="56"/>
      <c r="BT915" s="56"/>
      <c r="BU915" s="56">
        <f>+BU509</f>
        <v>0</v>
      </c>
      <c r="BV915" s="56">
        <f>+BV505</f>
        <v>0</v>
      </c>
      <c r="BW915" s="56"/>
      <c r="BX915" s="56"/>
      <c r="BY915" s="56"/>
      <c r="BZ915" s="56"/>
      <c r="CA915" s="56"/>
      <c r="CB915" s="56"/>
      <c r="CC915" s="56"/>
      <c r="CD915" s="56"/>
      <c r="CE915" s="61"/>
      <c r="CF915" s="61"/>
      <c r="CG915" s="145"/>
    </row>
    <row r="916" spans="2:85" x14ac:dyDescent="0.45">
      <c r="B916" t="s">
        <v>105</v>
      </c>
      <c r="D916" s="56">
        <f>+D907-D915</f>
        <v>15687</v>
      </c>
      <c r="E916" s="56">
        <f>+E237-E915</f>
        <v>0</v>
      </c>
      <c r="F916" s="56">
        <f>+F237-F915</f>
        <v>0</v>
      </c>
      <c r="G916" s="56">
        <f>+G237-G915</f>
        <v>0</v>
      </c>
      <c r="H916" s="56">
        <f t="shared" ref="H916:BR916" si="5168">+H907-H915</f>
        <v>-8455</v>
      </c>
      <c r="I916" s="56">
        <f t="shared" si="5168"/>
        <v>0</v>
      </c>
      <c r="J916" s="56">
        <f t="shared" si="5168"/>
        <v>1.9485389239431598E-4</v>
      </c>
      <c r="K916" s="56">
        <f t="shared" si="5168"/>
        <v>0</v>
      </c>
      <c r="L916" s="56">
        <f t="shared" si="5168"/>
        <v>0</v>
      </c>
      <c r="M916" s="56">
        <f t="shared" si="5168"/>
        <v>0</v>
      </c>
      <c r="N916" s="56">
        <f t="shared" si="5168"/>
        <v>-4</v>
      </c>
      <c r="O916" s="56">
        <f t="shared" si="5168"/>
        <v>90.363993895720341</v>
      </c>
      <c r="P916" s="56">
        <f t="shared" si="5168"/>
        <v>0</v>
      </c>
      <c r="Q916" s="56">
        <f t="shared" si="5168"/>
        <v>-4</v>
      </c>
      <c r="R916" s="56">
        <f t="shared" si="5168"/>
        <v>0</v>
      </c>
      <c r="S916" s="56">
        <f t="shared" si="5168"/>
        <v>-2.9231367676285924E-3</v>
      </c>
      <c r="T916" s="56">
        <f t="shared" si="5168"/>
        <v>0</v>
      </c>
      <c r="U916" s="56">
        <f t="shared" si="5168"/>
        <v>0</v>
      </c>
      <c r="V916" s="56">
        <f t="shared" si="5168"/>
        <v>-1</v>
      </c>
      <c r="W916" s="56">
        <f t="shared" si="5168"/>
        <v>70</v>
      </c>
      <c r="X916" s="56">
        <f t="shared" si="5168"/>
        <v>0</v>
      </c>
      <c r="Y916" s="56">
        <f t="shared" si="5168"/>
        <v>0</v>
      </c>
      <c r="Z916" s="56">
        <f t="shared" si="5168"/>
        <v>102</v>
      </c>
      <c r="AA916" s="56">
        <f t="shared" si="5168"/>
        <v>-10</v>
      </c>
      <c r="AB916" s="56">
        <f t="shared" si="5168"/>
        <v>0</v>
      </c>
      <c r="AC916" s="56">
        <f t="shared" si="5168"/>
        <v>1.0708216028870038E-6</v>
      </c>
      <c r="AD916" s="56">
        <f t="shared" si="5168"/>
        <v>0</v>
      </c>
      <c r="AE916" s="56">
        <f t="shared" si="5168"/>
        <v>1.1247067392375811</v>
      </c>
      <c r="AF916" s="56">
        <f t="shared" si="5168"/>
        <v>0</v>
      </c>
      <c r="AG916" s="56">
        <f t="shared" si="5168"/>
        <v>0</v>
      </c>
      <c r="AH916" s="56">
        <f t="shared" si="5168"/>
        <v>0</v>
      </c>
      <c r="AI916" s="56">
        <f t="shared" si="5168"/>
        <v>0</v>
      </c>
      <c r="AJ916" s="56">
        <f t="shared" si="5168"/>
        <v>0</v>
      </c>
      <c r="AK916" s="56">
        <f t="shared" si="5168"/>
        <v>0</v>
      </c>
      <c r="AL916" s="56">
        <f t="shared" si="5168"/>
        <v>-3064</v>
      </c>
      <c r="AM916" s="56">
        <f t="shared" si="5168"/>
        <v>0</v>
      </c>
      <c r="AN916" s="56">
        <f t="shared" si="5168"/>
        <v>0</v>
      </c>
      <c r="AO916" s="56">
        <f t="shared" si="5168"/>
        <v>0</v>
      </c>
      <c r="AP916" s="56">
        <f t="shared" si="5168"/>
        <v>-104622</v>
      </c>
      <c r="AQ916" s="56">
        <f t="shared" si="5168"/>
        <v>0</v>
      </c>
      <c r="AR916" s="56">
        <f t="shared" si="5168"/>
        <v>-3.1954268786276493E-5</v>
      </c>
      <c r="AS916" s="56">
        <f t="shared" si="5168"/>
        <v>0</v>
      </c>
      <c r="AT916" s="56">
        <f t="shared" si="5168"/>
        <v>0</v>
      </c>
      <c r="AU916" s="56">
        <f t="shared" si="5168"/>
        <v>0</v>
      </c>
      <c r="AV916" s="56">
        <f t="shared" si="5168"/>
        <v>-1.1784113438590982E-3</v>
      </c>
      <c r="AW916" s="56">
        <f t="shared" si="5168"/>
        <v>0</v>
      </c>
      <c r="AX916" s="56">
        <f t="shared" si="5168"/>
        <v>-1.9335948628868209</v>
      </c>
      <c r="AY916" s="56">
        <f t="shared" si="5168"/>
        <v>0</v>
      </c>
      <c r="AZ916" s="56">
        <f t="shared" si="5168"/>
        <v>0</v>
      </c>
      <c r="BA916" s="56">
        <f t="shared" si="5168"/>
        <v>13251</v>
      </c>
      <c r="BB916" s="56">
        <f t="shared" si="5168"/>
        <v>0</v>
      </c>
      <c r="BC916" s="56">
        <f t="shared" si="5168"/>
        <v>-59309</v>
      </c>
      <c r="BD916" s="56">
        <f t="shared" si="5168"/>
        <v>0</v>
      </c>
      <c r="BE916" s="56">
        <f t="shared" si="5168"/>
        <v>15687</v>
      </c>
      <c r="BF916" s="56">
        <f t="shared" si="5168"/>
        <v>0</v>
      </c>
      <c r="BG916" s="56">
        <f t="shared" si="5168"/>
        <v>0.19015928583845154</v>
      </c>
      <c r="BH916" s="56">
        <f t="shared" si="5168"/>
        <v>0</v>
      </c>
      <c r="BI916" s="56">
        <f t="shared" si="5168"/>
        <v>0</v>
      </c>
      <c r="BJ916" s="56">
        <f t="shared" si="5168"/>
        <v>0</v>
      </c>
      <c r="BK916" s="56">
        <f t="shared" si="5168"/>
        <v>0</v>
      </c>
      <c r="BL916" s="56">
        <f t="shared" si="5168"/>
        <v>0</v>
      </c>
      <c r="BM916" s="56">
        <f t="shared" si="5168"/>
        <v>0</v>
      </c>
      <c r="BN916" s="56">
        <f t="shared" si="5168"/>
        <v>1300.0240529566072</v>
      </c>
      <c r="BO916" s="56">
        <f t="shared" si="5168"/>
        <v>0</v>
      </c>
      <c r="BP916" s="56">
        <f t="shared" si="5168"/>
        <v>-8455</v>
      </c>
      <c r="BQ916" s="56">
        <f t="shared" si="5168"/>
        <v>0</v>
      </c>
      <c r="BR916" s="56">
        <f t="shared" si="5168"/>
        <v>-3.782992341452851E-6</v>
      </c>
      <c r="BS916" s="56"/>
      <c r="BT916" s="56"/>
      <c r="BU916" s="56">
        <f>+BU508-BU915</f>
        <v>0</v>
      </c>
      <c r="BV916" s="56">
        <f>+BV504-BV915</f>
        <v>0</v>
      </c>
      <c r="BW916" s="56"/>
      <c r="BX916" s="56"/>
      <c r="BY916" s="56"/>
      <c r="BZ916" s="56"/>
      <c r="CA916" s="56"/>
      <c r="CB916" s="56"/>
      <c r="CC916" s="56"/>
      <c r="CD916" s="56"/>
      <c r="CE916" s="61"/>
      <c r="CF916" s="61"/>
      <c r="CG916" s="105"/>
    </row>
    <row r="917" spans="2:85" x14ac:dyDescent="0.45">
      <c r="B917" s="56"/>
      <c r="D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10"/>
      <c r="BT917" s="10"/>
      <c r="BU917" s="10"/>
      <c r="BV917" s="10"/>
      <c r="BW917" s="10"/>
      <c r="BX917" s="10"/>
      <c r="BY917" s="10"/>
      <c r="BZ917" s="10"/>
      <c r="CA917" s="10"/>
      <c r="CB917" s="61"/>
      <c r="CC917" s="105"/>
      <c r="CD917" s="105"/>
      <c r="CE917" s="105"/>
      <c r="CF917" s="105"/>
    </row>
    <row r="918" spans="2:85" x14ac:dyDescent="0.45">
      <c r="B918" s="56"/>
      <c r="D918" s="56"/>
      <c r="H918" s="56"/>
      <c r="N918" s="59"/>
      <c r="W918" s="56"/>
      <c r="AA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56"/>
      <c r="BC918" s="56"/>
      <c r="BE918" s="59"/>
      <c r="BH918" s="96"/>
      <c r="BI918" s="96"/>
      <c r="BJ918" s="96"/>
      <c r="BK918" s="493"/>
      <c r="BL918" s="96"/>
      <c r="BM918" s="96"/>
      <c r="BN918" s="96"/>
      <c r="BO918" s="96"/>
      <c r="BP918" s="96"/>
      <c r="BQ918" s="96"/>
      <c r="BR918" s="78"/>
      <c r="BS918" s="1"/>
      <c r="BT918" s="1"/>
    </row>
    <row r="919" spans="2:85" x14ac:dyDescent="0.45">
      <c r="D919" s="1"/>
      <c r="E919" s="111" t="s">
        <v>26</v>
      </c>
      <c r="F919" s="112"/>
      <c r="H919" s="112" t="s">
        <v>59</v>
      </c>
      <c r="I919" s="104"/>
      <c r="J919" s="104"/>
      <c r="K919" s="61"/>
      <c r="L919" s="10"/>
      <c r="W919" s="56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BA919" s="56">
        <f>SUM(BA853:BA859)</f>
        <v>3280069</v>
      </c>
      <c r="BC919" s="56">
        <f>+BA919/7</f>
        <v>468581.28571428574</v>
      </c>
      <c r="BE919" s="56"/>
      <c r="BG919" s="231"/>
      <c r="BH919" s="96"/>
      <c r="BI919" s="96"/>
      <c r="BJ919" s="96"/>
      <c r="BK919" s="493">
        <f>+BK194-BK915</f>
        <v>5763109</v>
      </c>
      <c r="BL919" s="96"/>
      <c r="BM919" s="96"/>
      <c r="BN919" s="96"/>
      <c r="BO919" s="96"/>
      <c r="BP919" s="96"/>
      <c r="BQ919" s="96"/>
      <c r="BR919" s="78"/>
      <c r="BS919" s="1"/>
      <c r="BT919" s="1"/>
    </row>
    <row r="920" spans="2:85" x14ac:dyDescent="0.45">
      <c r="B920" s="56"/>
      <c r="D920" s="1"/>
      <c r="E920" s="111" t="s">
        <v>38</v>
      </c>
      <c r="F920" s="112"/>
      <c r="H920" s="112" t="s">
        <v>40</v>
      </c>
      <c r="I920" s="10"/>
      <c r="J920" s="10"/>
      <c r="K920" s="61"/>
      <c r="L920" s="10"/>
      <c r="AD920" s="1"/>
      <c r="AE920" s="1"/>
      <c r="AF920" s="1"/>
      <c r="AG920" s="1"/>
      <c r="AH920" s="1"/>
      <c r="AI920" s="1">
        <f>SUM(W213:W243)</f>
        <v>25465</v>
      </c>
      <c r="AJ920" s="1"/>
      <c r="AK920" s="1"/>
      <c r="AL920" s="1" t="s">
        <v>17</v>
      </c>
      <c r="AM920" s="1"/>
      <c r="AN920" s="1"/>
      <c r="AO920" s="1"/>
      <c r="BC920" s="56"/>
      <c r="BE920" s="59"/>
      <c r="BH920" s="97"/>
      <c r="BI920" s="97"/>
      <c r="BJ920" s="97"/>
      <c r="BK920" s="493">
        <f>+BK187-BK915</f>
        <v>4928581</v>
      </c>
      <c r="BL920" s="97"/>
      <c r="BM920" s="97"/>
      <c r="BN920" s="97"/>
      <c r="BO920" s="97"/>
      <c r="BP920" s="97"/>
      <c r="BQ920" s="97"/>
      <c r="BR920" s="78"/>
      <c r="BS920" s="1"/>
      <c r="BT920" s="1"/>
    </row>
    <row r="921" spans="2:85" x14ac:dyDescent="0.45">
      <c r="B921" s="231"/>
      <c r="D921" s="1"/>
      <c r="E921" s="111" t="s">
        <v>45</v>
      </c>
      <c r="F921" s="112"/>
      <c r="H921" s="112" t="s">
        <v>55</v>
      </c>
      <c r="I921" s="10"/>
      <c r="J921" s="10"/>
      <c r="K921" s="61"/>
      <c r="L921" s="10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BC921" s="56"/>
      <c r="BE921" s="59"/>
      <c r="BH921" s="97"/>
      <c r="BI921" s="97"/>
      <c r="BJ921" s="97"/>
      <c r="BK921" s="493"/>
      <c r="BL921" s="97"/>
      <c r="BM921" s="97"/>
      <c r="BN921" s="97"/>
      <c r="BO921" s="97"/>
      <c r="BP921" s="97"/>
      <c r="BQ921" s="97"/>
      <c r="BR921" s="78"/>
      <c r="BS921" s="1"/>
      <c r="BT921" s="1"/>
    </row>
    <row r="922" spans="2:85" x14ac:dyDescent="0.45">
      <c r="D922" s="1"/>
      <c r="E922" s="111" t="s">
        <v>60</v>
      </c>
      <c r="F922" s="61"/>
      <c r="H922" s="81" t="s">
        <v>135</v>
      </c>
      <c r="I922" s="61"/>
      <c r="J922" s="61"/>
      <c r="K922" s="61"/>
      <c r="L922" s="6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BH922" s="97"/>
      <c r="BI922" s="97"/>
      <c r="BJ922" s="97"/>
      <c r="BK922" s="496"/>
      <c r="BL922" s="97"/>
      <c r="BM922" s="97"/>
      <c r="BN922" s="97"/>
      <c r="BO922" s="97"/>
      <c r="BP922" s="97"/>
      <c r="BQ922" s="97"/>
      <c r="BR922" s="78"/>
      <c r="BS922" s="1"/>
      <c r="BT922" s="1"/>
    </row>
    <row r="923" spans="2:85" x14ac:dyDescent="0.45">
      <c r="B923" s="158">
        <f t="shared" ref="B923" si="5169">1+B922</f>
        <v>1</v>
      </c>
      <c r="E923" s="111" t="s">
        <v>136</v>
      </c>
      <c r="H923" s="81" t="s">
        <v>137</v>
      </c>
      <c r="AD923" s="1"/>
      <c r="AE923" s="1"/>
      <c r="AF923" s="1"/>
      <c r="AG923" s="1"/>
      <c r="AH923" s="1"/>
      <c r="AI923" s="1"/>
      <c r="BD923" s="78"/>
      <c r="BE923" s="78"/>
      <c r="BF923" s="78"/>
      <c r="BG923" s="78"/>
      <c r="BH923" s="78"/>
      <c r="BI923" s="78"/>
      <c r="BJ923" s="78"/>
      <c r="BK923" s="494"/>
      <c r="BL923" s="78"/>
      <c r="BM923" s="78"/>
      <c r="BN923" s="78"/>
      <c r="BO923" s="78"/>
      <c r="BP923" s="78"/>
      <c r="BQ923" s="78"/>
      <c r="BR923" s="78"/>
      <c r="BS923" s="1"/>
      <c r="BT923" s="1"/>
    </row>
    <row r="924" spans="2:85" x14ac:dyDescent="0.45">
      <c r="B924" s="56"/>
      <c r="AD924" s="1"/>
      <c r="AE924" s="1"/>
      <c r="AF924" s="1"/>
      <c r="AG924" s="1"/>
      <c r="AH924" s="1"/>
      <c r="AI924" s="1"/>
      <c r="BA924" s="545"/>
      <c r="BK924" s="495"/>
    </row>
    <row r="925" spans="2:85" ht="14.65" thickBot="1" x14ac:dyDescent="0.5">
      <c r="D925" s="56"/>
      <c r="AD925" s="1"/>
      <c r="AE925" s="507"/>
      <c r="AF925" s="547"/>
      <c r="AG925" s="507"/>
      <c r="AH925" s="507"/>
      <c r="AI925" s="507"/>
      <c r="AJ925" s="500"/>
      <c r="AK925" s="500"/>
      <c r="AL925" s="500"/>
      <c r="AM925" s="500"/>
      <c r="AN925" s="500"/>
      <c r="AO925" s="500"/>
      <c r="AP925" s="500"/>
      <c r="AQ925" s="500"/>
      <c r="AR925" s="500"/>
      <c r="AS925" s="500"/>
      <c r="AT925" s="500"/>
      <c r="AU925" s="500"/>
      <c r="AV925" s="500"/>
      <c r="AW925" s="500"/>
      <c r="AX925" s="500"/>
      <c r="AZ925" s="106"/>
      <c r="BA925" s="106"/>
      <c r="BB925" s="106"/>
      <c r="BC925" s="106"/>
      <c r="BK925" s="1"/>
    </row>
    <row r="926" spans="2:85" x14ac:dyDescent="0.45">
      <c r="D926" s="531"/>
      <c r="J926" s="486"/>
      <c r="N926" s="56"/>
      <c r="V926" s="106"/>
      <c r="AA926" s="56"/>
      <c r="AD926" s="1"/>
      <c r="AE926" s="507"/>
      <c r="AF926" s="546"/>
      <c r="AG926" s="1"/>
      <c r="AH926" s="1"/>
      <c r="AI926" s="485"/>
      <c r="AJ926" s="464"/>
      <c r="AK926" s="465"/>
      <c r="AL926" s="465"/>
      <c r="AM926" s="465"/>
      <c r="AN926" s="465"/>
      <c r="AO926" s="465"/>
      <c r="AP926" s="465"/>
      <c r="AQ926" s="465"/>
      <c r="AR926" s="465"/>
      <c r="AS926" s="465"/>
      <c r="AT926" s="465"/>
      <c r="AU926" s="465"/>
      <c r="AV926" s="465"/>
      <c r="AW926" s="466"/>
      <c r="AX926" s="500"/>
      <c r="AZ926" s="106"/>
      <c r="BA926" s="77"/>
      <c r="BB926" s="106"/>
      <c r="BC926" s="106"/>
      <c r="BK926" s="56"/>
    </row>
    <row r="927" spans="2:85" x14ac:dyDescent="0.45">
      <c r="D927" s="1"/>
      <c r="J927" s="214"/>
      <c r="N927" s="231"/>
      <c r="AD927" s="1"/>
      <c r="AE927" s="507"/>
      <c r="AF927" s="546"/>
      <c r="AG927" s="1"/>
      <c r="AH927" s="1"/>
      <c r="AI927" s="485"/>
      <c r="AJ927" s="467"/>
      <c r="AK927" s="609" t="s">
        <v>142</v>
      </c>
      <c r="AL927" s="609"/>
      <c r="AM927" s="609"/>
      <c r="AN927" s="609"/>
      <c r="AO927" s="609"/>
      <c r="AP927" s="609"/>
      <c r="AQ927" s="609"/>
      <c r="AR927" s="609"/>
      <c r="AS927" s="609"/>
      <c r="AT927" s="609"/>
      <c r="AU927" s="609"/>
      <c r="AV927" s="609"/>
      <c r="AW927" s="468"/>
      <c r="AX927" s="500"/>
      <c r="AZ927" s="106"/>
      <c r="BA927" s="106"/>
      <c r="BB927" s="106"/>
      <c r="BC927" s="106"/>
    </row>
    <row r="928" spans="2:85" ht="15.75" x14ac:dyDescent="0.5">
      <c r="D928" s="1"/>
      <c r="H928" s="235"/>
      <c r="J928" s="57"/>
      <c r="N928" s="56"/>
      <c r="AD928" s="1"/>
      <c r="AE928" s="507"/>
      <c r="AF928" s="546"/>
      <c r="AG928" s="1"/>
      <c r="AH928" s="1"/>
      <c r="AI928" s="485"/>
      <c r="AJ928" s="467"/>
      <c r="AK928" s="609" t="s">
        <v>141</v>
      </c>
      <c r="AL928" s="609"/>
      <c r="AM928" s="609"/>
      <c r="AN928" s="609"/>
      <c r="AO928" s="473"/>
      <c r="AP928" s="474" t="s">
        <v>20</v>
      </c>
      <c r="AQ928" s="473"/>
      <c r="AR928" s="474" t="s">
        <v>4</v>
      </c>
      <c r="AS928" s="475"/>
      <c r="AT928" s="475"/>
      <c r="AU928" s="475"/>
      <c r="AV928" s="479" t="s">
        <v>10</v>
      </c>
      <c r="AW928" s="468"/>
      <c r="AX928" s="500"/>
      <c r="AZ928" s="106"/>
      <c r="BA928" s="106"/>
      <c r="BB928" s="106"/>
      <c r="BC928" s="106"/>
    </row>
    <row r="929" spans="2:87" ht="15.75" x14ac:dyDescent="0.5">
      <c r="H929" s="235"/>
      <c r="N929" s="231"/>
      <c r="AD929" s="1"/>
      <c r="AE929" s="507"/>
      <c r="AF929" s="546"/>
      <c r="AG929" s="1"/>
      <c r="AH929" s="1"/>
      <c r="AI929" s="485"/>
      <c r="AJ929" s="467"/>
      <c r="AK929" s="624" t="s">
        <v>138</v>
      </c>
      <c r="AL929" s="624"/>
      <c r="AM929" s="624"/>
      <c r="AN929" s="624"/>
      <c r="AO929" s="473"/>
      <c r="AP929" s="476">
        <f>+AH50</f>
        <v>898992</v>
      </c>
      <c r="AQ929" s="477"/>
      <c r="AR929" s="476">
        <f>+AH51</f>
        <v>55687</v>
      </c>
      <c r="AS929" s="478"/>
      <c r="AT929" s="478"/>
      <c r="AU929" s="478"/>
      <c r="AV929" s="491">
        <f t="shared" ref="AV929:AV935" si="5170">+AR929/AP929</f>
        <v>6.194382152455194E-2</v>
      </c>
      <c r="AW929" s="468"/>
      <c r="AX929" s="500"/>
      <c r="AZ929" s="106"/>
      <c r="BA929" s="77"/>
      <c r="BB929" s="106"/>
      <c r="BC929" s="106"/>
    </row>
    <row r="930" spans="2:87" ht="15.75" x14ac:dyDescent="0.5">
      <c r="D930" s="235"/>
      <c r="AD930" s="1"/>
      <c r="AE930" s="507"/>
      <c r="AF930" s="546"/>
      <c r="AG930" s="1"/>
      <c r="AH930" s="1"/>
      <c r="AI930" s="485"/>
      <c r="AJ930" s="467"/>
      <c r="AK930" s="625" t="s">
        <v>139</v>
      </c>
      <c r="AL930" s="626"/>
      <c r="AM930" s="626"/>
      <c r="AN930" s="626"/>
      <c r="AO930" s="64"/>
      <c r="AP930" s="469">
        <f>+AG83</f>
        <v>742147</v>
      </c>
      <c r="AQ930" s="64"/>
      <c r="AR930" s="469">
        <f>+AG84</f>
        <v>42339</v>
      </c>
      <c r="AS930" s="64"/>
      <c r="AT930" s="64"/>
      <c r="AU930" s="64"/>
      <c r="AV930" s="489">
        <f t="shared" si="5170"/>
        <v>5.7049344671608188E-2</v>
      </c>
      <c r="AW930" s="468"/>
      <c r="AX930" s="500"/>
      <c r="AZ930" s="106"/>
      <c r="BA930" s="77"/>
      <c r="BB930" s="106"/>
      <c r="BC930" s="106"/>
    </row>
    <row r="931" spans="2:87" ht="15.75" x14ac:dyDescent="0.5">
      <c r="AD931" s="1"/>
      <c r="AE931" s="507"/>
      <c r="AF931" s="546"/>
      <c r="AG931" s="1"/>
      <c r="AH931" s="1"/>
      <c r="AI931" s="485"/>
      <c r="AJ931" s="467"/>
      <c r="AK931" s="626" t="s">
        <v>140</v>
      </c>
      <c r="AL931" s="626"/>
      <c r="AM931" s="626"/>
      <c r="AN931" s="626"/>
      <c r="AO931" s="64"/>
      <c r="AP931" s="469">
        <f>+AH113</f>
        <v>869627</v>
      </c>
      <c r="AQ931" s="64"/>
      <c r="AR931" s="469">
        <f>+AH114</f>
        <v>21252</v>
      </c>
      <c r="AS931" s="64"/>
      <c r="AT931" s="64"/>
      <c r="AU931" s="64"/>
      <c r="AV931" s="489">
        <f t="shared" si="5170"/>
        <v>2.4438063675575852E-2</v>
      </c>
      <c r="AW931" s="468"/>
      <c r="AX931" s="500"/>
      <c r="AZ931" s="106"/>
      <c r="BA931" s="106"/>
      <c r="BB931" s="106"/>
      <c r="BC931" s="106"/>
    </row>
    <row r="932" spans="2:87" ht="15.75" x14ac:dyDescent="0.5">
      <c r="D932" s="428"/>
      <c r="AD932" s="1"/>
      <c r="AE932" s="507"/>
      <c r="AF932" s="546"/>
      <c r="AG932" s="1"/>
      <c r="AH932" s="1"/>
      <c r="AI932" s="485"/>
      <c r="AJ932" s="467"/>
      <c r="AK932" s="626" t="s">
        <v>143</v>
      </c>
      <c r="AL932" s="626"/>
      <c r="AM932" s="626"/>
      <c r="AN932" s="626"/>
      <c r="AO932" s="64"/>
      <c r="AP932" s="469">
        <f>+AG938</f>
        <v>1970617</v>
      </c>
      <c r="AQ932" s="64"/>
      <c r="AR932" s="469">
        <f>+AG940</f>
        <v>25901</v>
      </c>
      <c r="AS932" s="64"/>
      <c r="AT932" s="64"/>
      <c r="AU932" s="64"/>
      <c r="AV932" s="489">
        <f t="shared" si="5170"/>
        <v>1.3143599187462607E-2</v>
      </c>
      <c r="AW932" s="468"/>
      <c r="AX932" s="500"/>
    </row>
    <row r="933" spans="2:87" ht="15.75" x14ac:dyDescent="0.5">
      <c r="D933" s="428"/>
      <c r="AD933" s="1"/>
      <c r="AE933" s="507"/>
      <c r="AF933" s="546"/>
      <c r="AG933" s="1"/>
      <c r="AH933" s="1"/>
      <c r="AI933" s="485"/>
      <c r="AJ933" s="467"/>
      <c r="AK933" s="543"/>
      <c r="AL933" s="543" t="s">
        <v>151</v>
      </c>
      <c r="AM933" s="543"/>
      <c r="AN933" s="543"/>
      <c r="AO933" s="64"/>
      <c r="AP933" s="469">
        <f>SUM(D144:D174)</f>
        <v>1493931</v>
      </c>
      <c r="AQ933" s="64"/>
      <c r="AR933" s="469">
        <f>SUM(W144:W174)</f>
        <v>30354</v>
      </c>
      <c r="AS933" s="64"/>
      <c r="AT933" s="64"/>
      <c r="AU933" s="64"/>
      <c r="AV933" s="489">
        <f t="shared" si="5170"/>
        <v>2.0318207467413155E-2</v>
      </c>
      <c r="AW933" s="468"/>
      <c r="AX933" s="500"/>
    </row>
    <row r="934" spans="2:87" ht="15.75" x14ac:dyDescent="0.5">
      <c r="D934" s="428"/>
      <c r="AD934" s="1"/>
      <c r="AE934" s="507"/>
      <c r="AF934" s="546"/>
      <c r="AG934" s="1"/>
      <c r="AH934" s="1"/>
      <c r="AI934" s="485"/>
      <c r="AJ934" s="467"/>
      <c r="AK934" s="543"/>
      <c r="AL934" s="543" t="s">
        <v>152</v>
      </c>
      <c r="AM934" s="543"/>
      <c r="AN934" s="543"/>
      <c r="AO934" s="64"/>
      <c r="AP934" s="469">
        <f>SUM(D175:D204)</f>
        <v>1202331</v>
      </c>
      <c r="AQ934" s="64"/>
      <c r="AR934" s="544">
        <f>SUM(W175:W204)</f>
        <v>24042</v>
      </c>
      <c r="AS934" s="64"/>
      <c r="AT934" s="64"/>
      <c r="AU934" s="64"/>
      <c r="AV934" s="489">
        <f t="shared" si="5170"/>
        <v>1.9996157464125936E-2</v>
      </c>
      <c r="AW934" s="468"/>
      <c r="AX934" s="500"/>
    </row>
    <row r="935" spans="2:87" ht="15.75" x14ac:dyDescent="0.5">
      <c r="D935" s="428"/>
      <c r="AD935" s="1"/>
      <c r="AE935" s="507"/>
      <c r="AF935" s="546"/>
      <c r="AG935" s="1"/>
      <c r="AH935" s="1"/>
      <c r="AI935" s="485"/>
      <c r="AJ935" s="467"/>
      <c r="AK935" s="543"/>
      <c r="AL935" s="543" t="s">
        <v>153</v>
      </c>
      <c r="AM935" s="543"/>
      <c r="AN935" s="543"/>
      <c r="AO935" s="64"/>
      <c r="AP935" s="469">
        <f>SUM(D205:D230)</f>
        <v>1470960</v>
      </c>
      <c r="AQ935" s="64"/>
      <c r="AR935" s="469">
        <f>SUM(W205:W235)</f>
        <v>24156</v>
      </c>
      <c r="AS935" s="64"/>
      <c r="AT935" s="64"/>
      <c r="AU935" s="64"/>
      <c r="AV935" s="489">
        <f t="shared" si="5170"/>
        <v>1.6421928536465982E-2</v>
      </c>
      <c r="AW935" s="468"/>
      <c r="AX935" s="500"/>
      <c r="BA935" s="486">
        <f>+AV929-AV935</f>
        <v>4.5521892988085955E-2</v>
      </c>
    </row>
    <row r="936" spans="2:87" ht="14.65" thickBot="1" x14ac:dyDescent="0.5">
      <c r="B936" s="427"/>
      <c r="D936" s="235"/>
      <c r="AD936" s="1"/>
      <c r="AE936" s="507"/>
      <c r="AF936" s="546"/>
      <c r="AG936" s="1"/>
      <c r="AH936" s="1"/>
      <c r="AI936" s="485"/>
      <c r="AJ936" s="467"/>
      <c r="AK936" s="480"/>
      <c r="AL936" s="480"/>
      <c r="AM936" s="480"/>
      <c r="AN936" s="480"/>
      <c r="AO936" s="481"/>
      <c r="AP936" s="482"/>
      <c r="AQ936" s="481"/>
      <c r="AR936" s="482"/>
      <c r="AS936" s="481"/>
      <c r="AT936" s="481"/>
      <c r="AU936" s="481"/>
      <c r="AV936" s="483"/>
      <c r="AW936" s="468"/>
      <c r="AX936" s="500"/>
      <c r="BA936">
        <f>+BA935/AV929</f>
        <v>0.73488996751747038</v>
      </c>
    </row>
    <row r="937" spans="2:87" ht="15.75" x14ac:dyDescent="0.5">
      <c r="B937" s="427"/>
      <c r="D937" s="235"/>
      <c r="AD937" s="1"/>
      <c r="AE937" s="507"/>
      <c r="AF937" s="546"/>
      <c r="AG937" s="1"/>
      <c r="AH937" s="1"/>
      <c r="AI937" s="485"/>
      <c r="AJ937" s="467"/>
      <c r="AK937" s="624" t="s">
        <v>138</v>
      </c>
      <c r="AL937" s="624"/>
      <c r="AM937" s="624"/>
      <c r="AN937" s="624"/>
      <c r="AO937" s="64"/>
      <c r="AP937" s="469"/>
      <c r="AQ937" s="64"/>
      <c r="AR937" s="469">
        <f>+AR929</f>
        <v>55687</v>
      </c>
      <c r="AS937" s="64"/>
      <c r="AT937" s="64"/>
      <c r="AU937" s="64"/>
      <c r="AV937" s="144"/>
      <c r="AW937" s="468"/>
      <c r="AX937" s="500"/>
    </row>
    <row r="938" spans="2:87" ht="15.75" x14ac:dyDescent="0.5">
      <c r="B938" s="427"/>
      <c r="D938" s="235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10"/>
      <c r="AE938" s="507"/>
      <c r="AF938" s="546"/>
      <c r="AG938" s="33">
        <f>SUM(D113:D143)</f>
        <v>1970617</v>
      </c>
      <c r="AH938" s="1"/>
      <c r="AI938" s="485"/>
      <c r="AJ938" s="467"/>
      <c r="AK938" s="610" t="s">
        <v>153</v>
      </c>
      <c r="AL938" s="610"/>
      <c r="AM938" s="610"/>
      <c r="AN938" s="610"/>
      <c r="AO938" s="64"/>
      <c r="AP938" s="469"/>
      <c r="AQ938" s="64"/>
      <c r="AR938" s="469">
        <f>+AR935</f>
        <v>24156</v>
      </c>
      <c r="AS938" s="64"/>
      <c r="AT938" s="64"/>
      <c r="AU938" s="64"/>
      <c r="AV938" s="144"/>
      <c r="AW938" s="468"/>
      <c r="AX938" s="500"/>
    </row>
    <row r="939" spans="2:87" ht="15.75" x14ac:dyDescent="0.5">
      <c r="B939" s="427"/>
      <c r="D939" s="235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10"/>
      <c r="AE939" s="507"/>
      <c r="AF939" s="546"/>
      <c r="AG939" s="33">
        <f>SUM(W125:W138)</f>
        <v>12117</v>
      </c>
      <c r="AH939" s="1"/>
      <c r="AI939" s="485"/>
      <c r="AJ939" s="467"/>
      <c r="AK939" s="63"/>
      <c r="AL939" s="497" t="s">
        <v>3</v>
      </c>
      <c r="AM939" s="63"/>
      <c r="AN939" s="63"/>
      <c r="AO939" s="64"/>
      <c r="AP939" s="469"/>
      <c r="AQ939" s="64"/>
      <c r="AR939" s="469">
        <f>+AR937-AR938</f>
        <v>31531</v>
      </c>
      <c r="AS939" s="64"/>
      <c r="AT939" s="64"/>
      <c r="AU939" s="64"/>
      <c r="AV939" s="484">
        <f>+AR939/AR937</f>
        <v>0.5662183274372834</v>
      </c>
      <c r="AW939" s="468"/>
      <c r="AX939" s="500"/>
    </row>
    <row r="940" spans="2:87" ht="14.65" thickBot="1" x14ac:dyDescent="0.5">
      <c r="D940" s="427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10"/>
      <c r="AE940" s="507"/>
      <c r="AF940" s="548"/>
      <c r="AG940" s="33">
        <f>SUM(W113:W143)</f>
        <v>25901</v>
      </c>
      <c r="AH940" s="1"/>
      <c r="AI940" s="485"/>
      <c r="AJ940" s="470"/>
      <c r="AK940" s="471"/>
      <c r="AL940" s="471"/>
      <c r="AM940" s="471"/>
      <c r="AN940" s="471"/>
      <c r="AO940" s="471"/>
      <c r="AP940" s="471"/>
      <c r="AQ940" s="471"/>
      <c r="AR940" s="471"/>
      <c r="AS940" s="471"/>
      <c r="AT940" s="471"/>
      <c r="AU940" s="471"/>
      <c r="AV940" s="471"/>
      <c r="AW940" s="472"/>
      <c r="AX940" s="500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1"/>
      <c r="BT940" s="1"/>
      <c r="BU940" s="1"/>
      <c r="BV940" s="1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</row>
    <row r="941" spans="2:87" x14ac:dyDescent="0.45"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10"/>
      <c r="AE941" s="507"/>
      <c r="AF941" s="507"/>
      <c r="AG941" s="507"/>
      <c r="AH941" s="507"/>
      <c r="AI941" s="507"/>
      <c r="AJ941" s="500"/>
      <c r="AK941" s="500"/>
      <c r="AL941" s="500"/>
      <c r="AM941" s="500"/>
      <c r="AN941" s="500"/>
      <c r="AO941" s="500"/>
      <c r="AP941" s="500"/>
      <c r="AQ941" s="500"/>
      <c r="AR941" s="500"/>
      <c r="AS941" s="500"/>
      <c r="AT941" s="500"/>
      <c r="AU941" s="500"/>
      <c r="AV941" s="500"/>
      <c r="AW941" s="500"/>
      <c r="AX941" s="500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77"/>
      <c r="BX941" s="77"/>
      <c r="BY941" s="77"/>
      <c r="BZ941" s="77"/>
      <c r="CA941" s="109"/>
      <c r="CB941" s="1"/>
      <c r="CC941" s="1"/>
      <c r="CD941" s="1"/>
      <c r="CE941" s="1"/>
      <c r="CF941" s="1"/>
      <c r="CG941" s="1"/>
      <c r="CH941" s="1"/>
      <c r="CI941" s="1"/>
    </row>
    <row r="942" spans="2:87" x14ac:dyDescent="0.45">
      <c r="D942">
        <v>10</v>
      </c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10"/>
      <c r="AE942" s="10"/>
      <c r="AF942" s="10"/>
      <c r="AG942" s="10"/>
      <c r="AH942" s="10"/>
      <c r="AI942" s="10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77"/>
      <c r="BX942" s="77"/>
      <c r="BY942" s="77"/>
      <c r="BZ942" s="77"/>
      <c r="CA942" s="77"/>
      <c r="CB942" s="1"/>
      <c r="CC942" s="1"/>
      <c r="CD942" s="1"/>
      <c r="CE942" s="1"/>
      <c r="CF942" s="1"/>
      <c r="CG942" s="1"/>
      <c r="CH942" s="1"/>
      <c r="CI942" s="1"/>
    </row>
    <row r="943" spans="2:87" x14ac:dyDescent="0.45">
      <c r="D943" s="1">
        <v>77000000</v>
      </c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10"/>
      <c r="AE943" s="10"/>
      <c r="AF943" s="10"/>
      <c r="AG943" s="10"/>
      <c r="AH943" s="10"/>
      <c r="AI943" s="10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77"/>
      <c r="BX943" s="77"/>
      <c r="BY943" s="77"/>
      <c r="BZ943" s="77"/>
      <c r="CA943" s="77"/>
      <c r="CB943" s="1"/>
      <c r="CC943" s="1"/>
      <c r="CD943" s="1"/>
      <c r="CE943" s="1"/>
      <c r="CF943" s="1"/>
      <c r="CG943" s="1"/>
    </row>
    <row r="944" spans="2:87" x14ac:dyDescent="0.45">
      <c r="D944" s="57">
        <f>+D943/D946</f>
        <v>0.23262839879154079</v>
      </c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10"/>
      <c r="AE944" s="10"/>
      <c r="AF944" s="10"/>
      <c r="AG944" s="501"/>
      <c r="AH944" s="10"/>
      <c r="AI944" s="10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77"/>
      <c r="BX944" s="77"/>
      <c r="BY944" s="77"/>
      <c r="BZ944" s="77"/>
      <c r="CA944" s="77"/>
      <c r="CB944" s="1"/>
      <c r="CC944" s="1"/>
      <c r="CD944" s="1"/>
      <c r="CE944" s="1"/>
      <c r="CF944" s="1"/>
      <c r="CG944" s="1"/>
    </row>
    <row r="945" spans="2:79" x14ac:dyDescent="0.45"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10"/>
      <c r="AE945" s="10"/>
      <c r="AF945" s="507"/>
      <c r="AG945" s="526"/>
      <c r="AH945" s="507"/>
      <c r="AI945" s="507"/>
      <c r="AJ945" s="500"/>
      <c r="AK945" s="500"/>
      <c r="AL945" s="500"/>
      <c r="AM945" s="500"/>
      <c r="AN945" s="500"/>
      <c r="AO945" s="500"/>
      <c r="AP945" s="500"/>
      <c r="AQ945" s="500"/>
      <c r="AR945" s="500"/>
      <c r="AS945" s="500"/>
      <c r="AT945" s="500"/>
      <c r="AU945" s="500"/>
      <c r="AV945" s="500"/>
      <c r="AW945" s="500"/>
      <c r="AX945" s="500"/>
      <c r="AY945" s="500"/>
      <c r="AZ945" s="500"/>
      <c r="BA945" s="500"/>
      <c r="BB945" s="500"/>
      <c r="BC945" s="500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77"/>
      <c r="BX945" s="77"/>
      <c r="BY945" s="110"/>
      <c r="BZ945" s="77"/>
      <c r="CA945" s="77"/>
    </row>
    <row r="946" spans="2:79" x14ac:dyDescent="0.45">
      <c r="D946" s="1">
        <v>331000000</v>
      </c>
      <c r="H946">
        <v>0.13400000000000001</v>
      </c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10"/>
      <c r="AE946" s="10"/>
      <c r="AF946" s="507"/>
      <c r="AG946" s="527"/>
      <c r="AH946" s="507"/>
      <c r="AI946" s="507"/>
      <c r="AJ946" s="524"/>
      <c r="AK946" s="524"/>
      <c r="AL946" s="525"/>
      <c r="AM946" s="525"/>
      <c r="AN946" s="525"/>
      <c r="AO946" s="525"/>
      <c r="AP946" s="525"/>
      <c r="AQ946" s="525"/>
      <c r="AR946" s="525"/>
      <c r="AS946" s="525"/>
      <c r="AT946" s="525"/>
      <c r="AU946" s="525"/>
      <c r="AV946" s="525"/>
      <c r="AW946" s="525"/>
      <c r="AX946" s="525"/>
      <c r="AY946" s="525"/>
      <c r="AZ946" s="525"/>
      <c r="BA946" s="525"/>
      <c r="BB946" s="524"/>
      <c r="BC946" s="524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77"/>
      <c r="BX946" s="77"/>
      <c r="BY946" s="77"/>
      <c r="BZ946" s="77"/>
      <c r="CA946" s="77"/>
    </row>
    <row r="947" spans="2:79" x14ac:dyDescent="0.45">
      <c r="D947" s="1">
        <f>+D946*H946</f>
        <v>44354000</v>
      </c>
      <c r="H947" s="1">
        <f>+D947*0.001</f>
        <v>44354</v>
      </c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10"/>
      <c r="AE947" s="10"/>
      <c r="AF947" s="507"/>
      <c r="AG947" s="526"/>
      <c r="AH947" s="507"/>
      <c r="AI947" s="507"/>
      <c r="AJ947" s="524"/>
      <c r="AK947" s="524"/>
      <c r="AL947" s="138"/>
      <c r="AM947" s="138"/>
      <c r="AN947" s="138"/>
      <c r="AO947" s="138"/>
      <c r="AP947" s="138"/>
      <c r="AQ947" s="138"/>
      <c r="AR947" s="138"/>
      <c r="AS947" s="78"/>
      <c r="AT947" s="78"/>
      <c r="AU947" s="78"/>
      <c r="AV947" s="98"/>
      <c r="AW947" s="98"/>
      <c r="AX947" s="98"/>
      <c r="AY947" s="98"/>
      <c r="AZ947" s="524"/>
      <c r="BA947" s="524"/>
      <c r="BB947" s="530"/>
      <c r="BC947" s="524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77"/>
      <c r="BX947" s="77"/>
      <c r="BY947" s="77"/>
      <c r="BZ947" s="77"/>
      <c r="CA947" s="77"/>
    </row>
    <row r="948" spans="2:79" x14ac:dyDescent="0.45">
      <c r="D948" s="425">
        <v>7.1999999999999995E-2</v>
      </c>
      <c r="H948" s="1">
        <f>+AA204*H946</f>
        <v>28746.886000000002</v>
      </c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10"/>
      <c r="AE948" s="10"/>
      <c r="AF948" s="507"/>
      <c r="AG948" s="526">
        <v>44031</v>
      </c>
      <c r="AH948" s="507"/>
      <c r="AI948" s="507"/>
      <c r="AJ948" s="524"/>
      <c r="AK948" s="524"/>
      <c r="AL948" s="138"/>
      <c r="AM948" s="138"/>
      <c r="AN948" s="138"/>
      <c r="AO948" s="138"/>
      <c r="AP948" s="138"/>
      <c r="AQ948" s="138"/>
      <c r="AR948" s="138"/>
      <c r="AS948" s="138"/>
      <c r="AT948" s="98"/>
      <c r="AU948" s="78"/>
      <c r="AV948" s="98"/>
      <c r="AW948" s="98"/>
      <c r="AX948" s="98"/>
      <c r="AY948" s="98"/>
      <c r="AZ948" s="524"/>
      <c r="BA948" s="524"/>
      <c r="BB948" s="530"/>
      <c r="BC948" s="524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77"/>
      <c r="BX948" s="77"/>
      <c r="BY948" s="77"/>
      <c r="BZ948" s="77"/>
      <c r="CA948" s="77"/>
    </row>
    <row r="949" spans="2:79" x14ac:dyDescent="0.45"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10"/>
      <c r="AE949" s="10"/>
      <c r="AF949" s="507"/>
      <c r="AG949" s="526">
        <v>44038</v>
      </c>
      <c r="AH949" s="507"/>
      <c r="AI949" s="507"/>
      <c r="AJ949" s="524"/>
      <c r="AK949" s="524"/>
      <c r="AL949" s="78"/>
      <c r="AM949" s="78"/>
      <c r="AN949" s="139"/>
      <c r="AO949" s="139"/>
      <c r="AP949" s="139"/>
      <c r="AQ949" s="139"/>
      <c r="AR949" s="139"/>
      <c r="AS949" s="78"/>
      <c r="AT949" s="78"/>
      <c r="AU949" s="78"/>
      <c r="AV949" s="98"/>
      <c r="AW949" s="98"/>
      <c r="AX949" s="98"/>
      <c r="AY949" s="98"/>
      <c r="AZ949" s="524"/>
      <c r="BA949" s="524"/>
      <c r="BB949" s="530"/>
      <c r="BC949" s="524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77"/>
      <c r="BX949" s="77"/>
      <c r="BY949" s="77"/>
      <c r="BZ949" s="77"/>
      <c r="CA949" s="77"/>
    </row>
    <row r="950" spans="2:79" x14ac:dyDescent="0.45">
      <c r="D950" s="235">
        <v>4.2000000000000003E-2</v>
      </c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10"/>
      <c r="AE950" s="10"/>
      <c r="AF950" s="507"/>
      <c r="AG950" s="526">
        <v>44045</v>
      </c>
      <c r="AH950" s="507"/>
      <c r="AI950" s="507"/>
      <c r="AJ950" s="524"/>
      <c r="AK950" s="524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98"/>
      <c r="AW950" s="98"/>
      <c r="AX950" s="98"/>
      <c r="AY950" s="98"/>
      <c r="AZ950" s="524"/>
      <c r="BA950" s="524"/>
      <c r="BB950" s="530"/>
      <c r="BC950" s="524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2:79" x14ac:dyDescent="0.45">
      <c r="D951" s="531">
        <f>+D946*D948*D950</f>
        <v>1000944.0000000001</v>
      </c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10"/>
      <c r="AE951" s="10"/>
      <c r="AF951" s="507"/>
      <c r="AG951" s="526">
        <v>44052</v>
      </c>
      <c r="AH951" s="507"/>
      <c r="AI951" s="507"/>
      <c r="AJ951" s="524"/>
      <c r="AK951" s="524"/>
      <c r="AL951" s="78"/>
      <c r="AM951" s="78"/>
      <c r="AN951" s="139"/>
      <c r="AO951" s="139"/>
      <c r="AP951" s="139"/>
      <c r="AQ951" s="139"/>
      <c r="AR951" s="139"/>
      <c r="AS951" s="139"/>
      <c r="AT951" s="139"/>
      <c r="AU951" s="78"/>
      <c r="AV951" s="98"/>
      <c r="AW951" s="98"/>
      <c r="AX951" s="98"/>
      <c r="AY951" s="98"/>
      <c r="AZ951" s="524"/>
      <c r="BA951" s="524"/>
      <c r="BB951" s="530"/>
      <c r="BC951" s="524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2:79" x14ac:dyDescent="0.45"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10"/>
      <c r="AE952" s="10"/>
      <c r="AF952" s="507"/>
      <c r="AG952" s="526"/>
      <c r="AH952" s="507"/>
      <c r="AI952" s="507"/>
      <c r="AJ952" s="524"/>
      <c r="AK952" s="524"/>
      <c r="AL952" s="78"/>
      <c r="AM952" s="78"/>
      <c r="AN952" s="139"/>
      <c r="AO952" s="139"/>
      <c r="AP952" s="139"/>
      <c r="AQ952" s="139"/>
      <c r="AR952" s="139"/>
      <c r="AS952" s="139"/>
      <c r="AT952" s="139"/>
      <c r="AU952" s="78"/>
      <c r="AV952" s="98"/>
      <c r="AW952" s="98"/>
      <c r="AX952" s="98"/>
      <c r="AY952" s="98"/>
      <c r="AZ952" s="524"/>
      <c r="BA952" s="524"/>
      <c r="BB952" s="530"/>
      <c r="BC952" s="524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2:79" x14ac:dyDescent="0.45"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10"/>
      <c r="AE953" s="10"/>
      <c r="AF953" s="507"/>
      <c r="AG953" s="526"/>
      <c r="AH953" s="507"/>
      <c r="AI953" s="507"/>
      <c r="AJ953" s="524"/>
      <c r="AK953" s="524"/>
      <c r="AL953" s="78"/>
      <c r="AM953" s="78"/>
      <c r="AN953" s="139"/>
      <c r="AO953" s="139"/>
      <c r="AP953" s="139"/>
      <c r="AQ953" s="139"/>
      <c r="AR953" s="139"/>
      <c r="AS953" s="139"/>
      <c r="AT953" s="139"/>
      <c r="AU953" s="78"/>
      <c r="AV953" s="98"/>
      <c r="AW953" s="98"/>
      <c r="AX953" s="98"/>
      <c r="AY953" s="98"/>
      <c r="AZ953" s="524"/>
      <c r="BA953" s="524"/>
      <c r="BB953" s="530"/>
      <c r="BC953" s="524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2:79" x14ac:dyDescent="0.45"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10"/>
      <c r="AE954" s="10"/>
      <c r="AF954" s="507"/>
      <c r="AG954" s="528"/>
      <c r="AH954" s="507"/>
      <c r="AI954" s="507"/>
      <c r="AJ954" s="524"/>
      <c r="AK954" s="524"/>
      <c r="AL954" s="78"/>
      <c r="AM954" s="78"/>
      <c r="AN954" s="139"/>
      <c r="AO954" s="139"/>
      <c r="AP954" s="139"/>
      <c r="AQ954" s="139"/>
      <c r="AR954" s="139"/>
      <c r="AS954" s="139"/>
      <c r="AT954" s="139"/>
      <c r="AU954" s="78"/>
      <c r="AV954" s="98"/>
      <c r="AW954" s="98"/>
      <c r="AX954" s="98"/>
      <c r="AY954" s="98"/>
      <c r="AZ954" s="524"/>
      <c r="BA954" s="524"/>
      <c r="BB954" s="530"/>
      <c r="BC954" s="524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2:79" x14ac:dyDescent="0.45"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10"/>
      <c r="AE955" s="10"/>
      <c r="AF955" s="507"/>
      <c r="AG955" s="507"/>
      <c r="AH955" s="507"/>
      <c r="AI955" s="507"/>
      <c r="AJ955" s="524"/>
      <c r="AK955" s="524"/>
      <c r="AL955" s="78"/>
      <c r="AM955" s="78"/>
      <c r="AN955" s="139"/>
      <c r="AO955" s="139"/>
      <c r="AP955" s="139"/>
      <c r="AQ955" s="139"/>
      <c r="AR955" s="139"/>
      <c r="AS955" s="139"/>
      <c r="AT955" s="139"/>
      <c r="AU955" s="78"/>
      <c r="AV955" s="98"/>
      <c r="AW955" s="98"/>
      <c r="AX955" s="98"/>
      <c r="AY955" s="98"/>
      <c r="AZ955" s="524"/>
      <c r="BA955" s="524"/>
      <c r="BB955" s="530"/>
      <c r="BC955" s="524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2:79" x14ac:dyDescent="0.45"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10"/>
      <c r="AE956" s="10"/>
      <c r="AF956" s="507"/>
      <c r="AG956" s="507"/>
      <c r="AH956" s="507"/>
      <c r="AI956" s="507"/>
      <c r="AJ956" s="524"/>
      <c r="AK956" s="524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78"/>
      <c r="AW956" s="78"/>
      <c r="AX956" s="78"/>
      <c r="AY956" s="78"/>
      <c r="AZ956" s="524"/>
      <c r="BA956" s="530"/>
      <c r="BB956" s="530"/>
      <c r="BC956" s="524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2:79" x14ac:dyDescent="0.45">
      <c r="AD957" s="10"/>
      <c r="AE957" s="10"/>
      <c r="AF957" s="507"/>
      <c r="AG957" s="507"/>
      <c r="AH957" s="507"/>
      <c r="AI957" s="507"/>
      <c r="AJ957" s="524"/>
      <c r="AK957" s="524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78"/>
      <c r="AW957" s="78"/>
      <c r="AX957" s="78"/>
      <c r="AY957" s="78"/>
      <c r="AZ957" s="524"/>
      <c r="BA957" s="530"/>
      <c r="BB957" s="530"/>
      <c r="BC957" s="524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2:79" ht="14.65" thickBot="1" x14ac:dyDescent="0.5">
      <c r="B958" s="500"/>
      <c r="C958" s="500"/>
      <c r="D958" s="500"/>
      <c r="E958" s="500"/>
      <c r="F958" s="500"/>
      <c r="G958" s="500"/>
      <c r="H958" s="500"/>
      <c r="I958" s="500"/>
      <c r="J958" s="500"/>
      <c r="K958" s="500"/>
      <c r="L958" s="500"/>
      <c r="M958" s="500"/>
      <c r="N958" s="500"/>
      <c r="O958" s="500"/>
      <c r="P958" s="500"/>
      <c r="Q958" s="500"/>
      <c r="R958" s="500"/>
      <c r="S958" s="500"/>
      <c r="T958" s="500"/>
      <c r="U958" s="500"/>
      <c r="V958" s="500"/>
      <c r="AD958" s="10"/>
      <c r="AE958" s="10"/>
      <c r="AF958" s="507"/>
      <c r="AG958" s="507"/>
      <c r="AH958" s="507"/>
      <c r="AI958" s="507"/>
      <c r="AJ958" s="524"/>
      <c r="AK958" s="524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78"/>
      <c r="AW958" s="78"/>
      <c r="AX958" s="78"/>
      <c r="AY958" s="78"/>
      <c r="AZ958" s="524"/>
      <c r="BA958" s="530"/>
      <c r="BB958" s="530"/>
      <c r="BC958" s="524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2:79" x14ac:dyDescent="0.45">
      <c r="B959" s="500"/>
      <c r="C959" s="510"/>
      <c r="D959" s="357"/>
      <c r="E959" s="357"/>
      <c r="F959" s="357"/>
      <c r="G959" s="357"/>
      <c r="H959" s="357"/>
      <c r="I959" s="357"/>
      <c r="J959" s="357"/>
      <c r="K959" s="357"/>
      <c r="L959" s="357"/>
      <c r="M959" s="357"/>
      <c r="N959" s="357"/>
      <c r="O959" s="357"/>
      <c r="P959" s="511"/>
      <c r="V959" s="500"/>
      <c r="AD959" s="10"/>
      <c r="AE959" s="10"/>
      <c r="AF959" s="507"/>
      <c r="AG959" s="507"/>
      <c r="AH959" s="507"/>
      <c r="AI959" s="507"/>
      <c r="AJ959" s="524"/>
      <c r="AK959" s="524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78"/>
      <c r="AW959" s="78"/>
      <c r="AX959" s="78"/>
      <c r="AY959" s="78"/>
      <c r="AZ959" s="524"/>
      <c r="BA959" s="530"/>
      <c r="BB959" s="530"/>
      <c r="BC959" s="524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2:79" x14ac:dyDescent="0.45">
      <c r="B960" s="500"/>
      <c r="C960" s="512"/>
      <c r="D960" s="502" t="s">
        <v>149</v>
      </c>
      <c r="E960" s="387"/>
      <c r="F960" s="387"/>
      <c r="G960" s="387"/>
      <c r="H960" s="628" t="s">
        <v>20</v>
      </c>
      <c r="I960" s="628"/>
      <c r="J960" s="628"/>
      <c r="K960" s="387"/>
      <c r="L960" s="387"/>
      <c r="M960" s="387"/>
      <c r="N960" s="387"/>
      <c r="O960" s="387"/>
      <c r="P960" s="513"/>
      <c r="V960" s="500"/>
      <c r="AD960" s="10"/>
      <c r="AE960" s="10"/>
      <c r="AF960" s="507"/>
      <c r="AG960" s="507"/>
      <c r="AH960" s="507"/>
      <c r="AI960" s="507"/>
      <c r="AJ960" s="524"/>
      <c r="AK960" s="524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78"/>
      <c r="AW960" s="78"/>
      <c r="AX960" s="78"/>
      <c r="AY960" s="78"/>
      <c r="AZ960" s="524"/>
      <c r="BA960" s="530"/>
      <c r="BB960" s="530"/>
      <c r="BC960" s="524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2:79" x14ac:dyDescent="0.45">
      <c r="B961" s="500"/>
      <c r="C961" s="512"/>
      <c r="D961" s="514" t="s">
        <v>150</v>
      </c>
      <c r="E961" s="387"/>
      <c r="F961" s="387"/>
      <c r="G961" s="387"/>
      <c r="H961" s="515" t="s">
        <v>147</v>
      </c>
      <c r="I961" s="502"/>
      <c r="J961" s="516" t="s">
        <v>148</v>
      </c>
      <c r="K961" s="502"/>
      <c r="L961" s="502"/>
      <c r="M961" s="502"/>
      <c r="N961" s="502"/>
      <c r="O961" s="517" t="s">
        <v>3</v>
      </c>
      <c r="P961" s="513"/>
      <c r="V961" s="500"/>
      <c r="AD961" s="10"/>
      <c r="AE961" s="10"/>
      <c r="AF961" s="507"/>
      <c r="AG961" s="507"/>
      <c r="AH961" s="507"/>
      <c r="AI961" s="507"/>
      <c r="AJ961" s="524"/>
      <c r="AK961" s="524"/>
      <c r="AL961" s="529"/>
      <c r="AM961" s="529"/>
      <c r="AN961" s="529"/>
      <c r="AO961" s="529"/>
      <c r="AP961" s="529"/>
      <c r="AQ961" s="529"/>
      <c r="AR961" s="529"/>
      <c r="AS961" s="529"/>
      <c r="AT961" s="529"/>
      <c r="AU961" s="529"/>
      <c r="AV961" s="524"/>
      <c r="AW961" s="524"/>
      <c r="AX961" s="524"/>
      <c r="AY961" s="524"/>
      <c r="AZ961" s="524"/>
      <c r="BA961" s="530"/>
      <c r="BB961" s="530"/>
      <c r="BC961" s="524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2:79" x14ac:dyDescent="0.45">
      <c r="B962" s="500"/>
      <c r="C962" s="512"/>
      <c r="D962" s="503" t="s">
        <v>146</v>
      </c>
      <c r="E962" s="15"/>
      <c r="F962" s="15"/>
      <c r="G962" s="15"/>
      <c r="H962" s="518">
        <f>SUM(D133:D139)</f>
        <v>471981</v>
      </c>
      <c r="I962" s="15"/>
      <c r="J962" s="16">
        <f>+H962/7</f>
        <v>67425.857142857145</v>
      </c>
      <c r="K962" s="15"/>
      <c r="L962" s="15"/>
      <c r="M962" s="15"/>
      <c r="N962" s="15"/>
      <c r="O962" s="15"/>
      <c r="P962" s="513"/>
      <c r="V962" s="500"/>
      <c r="AD962" s="10"/>
      <c r="AE962" s="10"/>
      <c r="AF962" s="507"/>
      <c r="AG962" s="507"/>
      <c r="AH962" s="507"/>
      <c r="AI962" s="507"/>
      <c r="AJ962" s="524"/>
      <c r="AK962" s="524"/>
      <c r="AL962" s="529"/>
      <c r="AM962" s="529"/>
      <c r="AN962" s="529"/>
      <c r="AO962" s="529"/>
      <c r="AP962" s="529"/>
      <c r="AQ962" s="529"/>
      <c r="AR962" s="529"/>
      <c r="AS962" s="529"/>
      <c r="AT962" s="529"/>
      <c r="AU962" s="529"/>
      <c r="AV962" s="529"/>
      <c r="AW962" s="529"/>
      <c r="AX962" s="529"/>
      <c r="AY962" s="529"/>
      <c r="AZ962" s="524"/>
      <c r="BA962" s="524"/>
      <c r="BB962" s="530"/>
      <c r="BC962" s="524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2:79" x14ac:dyDescent="0.45">
      <c r="B963" s="500"/>
      <c r="C963" s="512"/>
      <c r="D963" s="503" t="s">
        <v>145</v>
      </c>
      <c r="E963" s="15"/>
      <c r="F963" s="15"/>
      <c r="G963" s="15"/>
      <c r="H963" s="16">
        <f>SUM(D140:D146)</f>
        <v>427527</v>
      </c>
      <c r="I963" s="15"/>
      <c r="J963" s="16">
        <f>+H963/7</f>
        <v>61075.285714285717</v>
      </c>
      <c r="K963" s="15"/>
      <c r="L963" s="15"/>
      <c r="M963" s="15"/>
      <c r="N963" s="15"/>
      <c r="O963" s="15"/>
      <c r="P963" s="513"/>
      <c r="V963" s="500"/>
      <c r="AJ963" s="98"/>
      <c r="AK963" s="98"/>
      <c r="AL963" s="98"/>
      <c r="AM963" s="98"/>
      <c r="AN963" s="98"/>
      <c r="AO963" s="98"/>
      <c r="AP963" s="98"/>
      <c r="AQ963" s="98"/>
      <c r="AR963" s="98"/>
      <c r="AS963" s="98"/>
      <c r="AT963" s="78"/>
      <c r="AU963" s="98"/>
      <c r="AV963" s="140"/>
      <c r="AW963" s="140"/>
      <c r="AX963" s="140"/>
      <c r="AY963" s="140"/>
      <c r="AZ963" s="98"/>
      <c r="BA963" s="98"/>
      <c r="BB963" s="98"/>
      <c r="BC963" s="98"/>
    </row>
    <row r="964" spans="2:79" x14ac:dyDescent="0.45">
      <c r="B964" s="506"/>
      <c r="C964" s="512"/>
      <c r="D964" s="503" t="s">
        <v>144</v>
      </c>
      <c r="E964" s="15"/>
      <c r="F964" s="15"/>
      <c r="G964" s="15"/>
      <c r="H964" s="16">
        <f>SUM(D147:D153)</f>
        <v>383516</v>
      </c>
      <c r="I964" s="15"/>
      <c r="J964" s="16">
        <f>+H964/7</f>
        <v>54788</v>
      </c>
      <c r="K964" s="15"/>
      <c r="L964" s="15"/>
      <c r="M964" s="15"/>
      <c r="N964" s="15"/>
      <c r="O964" s="518">
        <f>+H962-H964</f>
        <v>88465</v>
      </c>
      <c r="P964" s="513"/>
      <c r="V964" s="500"/>
      <c r="AA964">
        <f>+O964/7</f>
        <v>12637.857142857143</v>
      </c>
      <c r="AJ964" s="98"/>
      <c r="AK964" s="98"/>
      <c r="AL964" s="98"/>
      <c r="AM964" s="98"/>
      <c r="AN964" s="98"/>
      <c r="AO964" s="98"/>
      <c r="AP964" s="98"/>
      <c r="AQ964" s="98"/>
      <c r="AR964" s="98"/>
      <c r="AS964" s="98"/>
      <c r="AT964" s="98"/>
      <c r="AU964" s="98"/>
      <c r="AV964" s="78"/>
      <c r="AW964" s="78"/>
      <c r="AX964" s="78"/>
      <c r="AY964" s="78"/>
      <c r="AZ964" s="98"/>
      <c r="BA964" s="141"/>
      <c r="BB964" s="98"/>
      <c r="BC964" s="98"/>
    </row>
    <row r="965" spans="2:79" x14ac:dyDescent="0.45">
      <c r="B965" s="507"/>
      <c r="C965" s="512"/>
      <c r="D965" s="5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60">
        <f>+O964/H962</f>
        <v>0.18743339244588236</v>
      </c>
      <c r="P965" s="513"/>
      <c r="V965" s="500"/>
      <c r="X965" s="61"/>
      <c r="Y965" s="61"/>
      <c r="Z965" s="98"/>
      <c r="AA965" s="98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78">
        <v>480454</v>
      </c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</row>
    <row r="966" spans="2:79" ht="14.65" thickBot="1" x14ac:dyDescent="0.5">
      <c r="B966" s="507"/>
      <c r="C966" s="520"/>
      <c r="D966" s="521"/>
      <c r="E966" s="521"/>
      <c r="F966" s="521"/>
      <c r="G966" s="521"/>
      <c r="H966" s="521"/>
      <c r="I966" s="521"/>
      <c r="J966" s="522"/>
      <c r="K966" s="521"/>
      <c r="L966" s="521"/>
      <c r="M966" s="521"/>
      <c r="N966" s="521"/>
      <c r="O966" s="521"/>
      <c r="P966" s="523"/>
      <c r="V966" s="500"/>
      <c r="X966" s="61"/>
      <c r="Y966" s="61"/>
      <c r="Z966" s="98"/>
      <c r="AA966" s="98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140">
        <f>+N201</f>
        <v>290088</v>
      </c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</row>
    <row r="967" spans="2:79" x14ac:dyDescent="0.45">
      <c r="B967" s="507"/>
      <c r="C967" s="500"/>
      <c r="D967" s="508"/>
      <c r="E967" s="500"/>
      <c r="F967" s="500"/>
      <c r="G967" s="500"/>
      <c r="H967" s="509"/>
      <c r="I967" s="500"/>
      <c r="J967" s="500"/>
      <c r="K967" s="500"/>
      <c r="L967" s="500"/>
      <c r="M967" s="500"/>
      <c r="N967" s="500"/>
      <c r="O967" s="500"/>
      <c r="P967" s="500"/>
      <c r="Q967" s="500"/>
      <c r="R967" s="500"/>
      <c r="S967" s="500"/>
      <c r="T967" s="500"/>
      <c r="U967" s="500"/>
      <c r="V967" s="500"/>
      <c r="X967" s="61"/>
      <c r="Y967" s="61"/>
      <c r="Z967" s="98"/>
      <c r="AA967" s="98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140">
        <f>+AP965-AP966</f>
        <v>190366</v>
      </c>
      <c r="AQ967" s="98"/>
      <c r="AR967" s="98"/>
    </row>
    <row r="968" spans="2:79" x14ac:dyDescent="0.45">
      <c r="B968" s="1"/>
      <c r="D968" s="55"/>
      <c r="X968" s="61"/>
      <c r="Y968" s="61"/>
      <c r="Z968" s="98"/>
      <c r="AA968" s="98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84">
        <f>+AP967/AP965</f>
        <v>0.3962210742339537</v>
      </c>
      <c r="AQ968" s="98"/>
      <c r="AR968" s="98"/>
    </row>
    <row r="969" spans="2:79" x14ac:dyDescent="0.45">
      <c r="B969" s="55"/>
      <c r="D969" s="55"/>
      <c r="J969" s="56">
        <f>+J962-J964</f>
        <v>12637.857142857145</v>
      </c>
      <c r="X969" s="61"/>
      <c r="Y969" s="61"/>
      <c r="Z969" s="98"/>
      <c r="AA969" s="98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98"/>
      <c r="AQ969" s="98"/>
      <c r="AR969" s="98"/>
    </row>
    <row r="970" spans="2:79" x14ac:dyDescent="0.45">
      <c r="B970" s="57"/>
      <c r="D970" s="55"/>
      <c r="X970" s="61"/>
      <c r="Y970" s="61"/>
      <c r="Z970" s="98"/>
      <c r="AA970" s="98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98"/>
      <c r="AQ970" s="98"/>
      <c r="AR970" s="98"/>
    </row>
    <row r="971" spans="2:79" x14ac:dyDescent="0.45">
      <c r="B971" s="1"/>
      <c r="D971" s="55"/>
      <c r="X971" s="61"/>
      <c r="Y971" s="61"/>
      <c r="Z971" s="98"/>
      <c r="AA971" s="98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98"/>
      <c r="AQ971" s="98"/>
      <c r="AR971" s="98"/>
    </row>
    <row r="972" spans="2:79" x14ac:dyDescent="0.45">
      <c r="B972" s="1"/>
      <c r="D972" s="55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106"/>
      <c r="AJ972" s="106"/>
      <c r="AK972" s="106"/>
      <c r="AL972" s="106"/>
      <c r="AM972" s="106"/>
      <c r="AN972" s="106"/>
      <c r="AO972" s="106"/>
      <c r="AP972" s="106"/>
      <c r="AQ972" s="106"/>
      <c r="AR972" s="106"/>
    </row>
    <row r="973" spans="2:79" x14ac:dyDescent="0.45">
      <c r="B973" s="1"/>
      <c r="D973" s="55"/>
      <c r="AT973" s="500"/>
      <c r="AU973" s="500"/>
      <c r="AV973" s="500"/>
      <c r="AW973" s="500"/>
      <c r="AX973" s="500"/>
      <c r="AY973" s="500"/>
      <c r="AZ973" s="500"/>
      <c r="BA973" s="500"/>
      <c r="BB973" s="500"/>
      <c r="BC973" s="500"/>
      <c r="BD973" s="500"/>
      <c r="BE973" s="500"/>
      <c r="BF973" s="500"/>
      <c r="BG973" s="500"/>
      <c r="BH973" s="500"/>
      <c r="BI973" s="500"/>
    </row>
    <row r="974" spans="2:79" ht="15.75" x14ac:dyDescent="0.5">
      <c r="B974" s="1"/>
      <c r="D974" s="55"/>
      <c r="AT974" s="500"/>
      <c r="AU974" s="533"/>
      <c r="AV974" s="534"/>
      <c r="AW974" s="534"/>
      <c r="AX974" s="534"/>
      <c r="AY974" s="534"/>
      <c r="AZ974" s="534"/>
      <c r="BA974" s="534"/>
      <c r="BB974" s="534"/>
      <c r="BC974" s="534"/>
      <c r="BD974" s="534"/>
      <c r="BE974" s="534" t="s">
        <v>156</v>
      </c>
      <c r="BF974" s="534"/>
      <c r="BG974" s="534" t="s">
        <v>2</v>
      </c>
      <c r="BH974" s="533"/>
      <c r="BI974" s="500"/>
    </row>
    <row r="975" spans="2:79" ht="16.149999999999999" thickBot="1" x14ac:dyDescent="0.55000000000000004">
      <c r="B975" s="57" t="e">
        <f>+B974/B973</f>
        <v>#DIV/0!</v>
      </c>
      <c r="D975" s="55"/>
      <c r="AT975" s="500"/>
      <c r="AU975" s="533"/>
      <c r="AV975" s="635" t="s">
        <v>155</v>
      </c>
      <c r="AW975" s="635"/>
      <c r="AX975" s="635"/>
      <c r="AY975" s="534"/>
      <c r="AZ975" s="534"/>
      <c r="BA975" s="535" t="s">
        <v>20</v>
      </c>
      <c r="BB975" s="534"/>
      <c r="BC975" s="535" t="s">
        <v>3</v>
      </c>
      <c r="BD975" s="534"/>
      <c r="BE975" s="535" t="s">
        <v>65</v>
      </c>
      <c r="BF975" s="534"/>
      <c r="BG975" s="535" t="s">
        <v>65</v>
      </c>
      <c r="BH975" s="533"/>
      <c r="BI975" s="500"/>
    </row>
    <row r="976" spans="2:79" ht="21" x14ac:dyDescent="0.65">
      <c r="B976" s="1"/>
      <c r="D976" s="55"/>
      <c r="AT976" s="500"/>
      <c r="AU976" s="533"/>
      <c r="AV976" s="536" t="s">
        <v>143</v>
      </c>
      <c r="AW976" s="533"/>
      <c r="AX976" s="537"/>
      <c r="AY976" s="533"/>
      <c r="AZ976" s="533"/>
      <c r="BA976" s="538">
        <f>+N143</f>
        <v>1970617</v>
      </c>
      <c r="BB976" s="537"/>
      <c r="BC976" s="537"/>
      <c r="BD976" s="537"/>
      <c r="BE976" s="537"/>
      <c r="BF976" s="537"/>
      <c r="BG976" s="537"/>
      <c r="BH976" s="533"/>
      <c r="BI976" s="500"/>
    </row>
    <row r="977" spans="2:61" ht="21" x14ac:dyDescent="0.65">
      <c r="B977" s="1"/>
      <c r="D977" s="55"/>
      <c r="AT977" s="500"/>
      <c r="AU977" s="533"/>
      <c r="AV977" s="536" t="s">
        <v>151</v>
      </c>
      <c r="AW977" s="533"/>
      <c r="AX977" s="537"/>
      <c r="AY977" s="533"/>
      <c r="AZ977" s="533"/>
      <c r="BA977" s="538">
        <f>+N174</f>
        <v>1493931</v>
      </c>
      <c r="BB977" s="537"/>
      <c r="BC977" s="538">
        <f>+BA977-BA976</f>
        <v>-476686</v>
      </c>
      <c r="BD977" s="537"/>
      <c r="BE977" s="539">
        <f>+BC977/BA976</f>
        <v>-0.24189682723735764</v>
      </c>
      <c r="BF977" s="537"/>
      <c r="BG977" s="537"/>
      <c r="BH977" s="533"/>
      <c r="BI977" s="500"/>
    </row>
    <row r="978" spans="2:61" ht="21" x14ac:dyDescent="0.65">
      <c r="B978" s="1">
        <f>+B974*50</f>
        <v>0</v>
      </c>
      <c r="D978" s="55"/>
      <c r="AT978" s="500"/>
      <c r="AU978" s="533"/>
      <c r="AV978" s="536" t="s">
        <v>152</v>
      </c>
      <c r="AW978" s="533"/>
      <c r="AX978" s="537"/>
      <c r="AY978" s="533"/>
      <c r="AZ978" s="533"/>
      <c r="BA978" s="538">
        <f>+N204</f>
        <v>1202331</v>
      </c>
      <c r="BB978" s="537"/>
      <c r="BC978" s="538">
        <f>+BA978-BA977</f>
        <v>-291600</v>
      </c>
      <c r="BD978" s="537"/>
      <c r="BE978" s="539">
        <f>+BC978/BA977</f>
        <v>-0.19518973767864781</v>
      </c>
      <c r="BF978" s="537"/>
      <c r="BG978" s="537"/>
      <c r="BH978" s="533"/>
      <c r="BI978" s="500"/>
    </row>
    <row r="979" spans="2:61" ht="21" x14ac:dyDescent="0.65">
      <c r="B979" s="1"/>
      <c r="D979" s="55"/>
      <c r="AT979" s="500"/>
      <c r="AU979" s="533"/>
      <c r="AV979" s="536" t="s">
        <v>153</v>
      </c>
      <c r="AW979" s="533"/>
      <c r="AX979" s="537"/>
      <c r="AY979" s="533"/>
      <c r="AZ979" s="540" t="s">
        <v>26</v>
      </c>
      <c r="BA979" s="538">
        <f>+N218</f>
        <v>371489</v>
      </c>
      <c r="BB979" s="537"/>
      <c r="BC979" s="538">
        <f>+BA979-BA978</f>
        <v>-830842</v>
      </c>
      <c r="BD979" s="537"/>
      <c r="BE979" s="539">
        <f>+BC979/BA978</f>
        <v>-0.69102601529861574</v>
      </c>
      <c r="BF979" s="537"/>
      <c r="BG979" s="539">
        <f>+(BA979-BA976)/BA976</f>
        <v>-0.81148594577231392</v>
      </c>
      <c r="BH979" s="533"/>
      <c r="BI979" s="500"/>
    </row>
    <row r="980" spans="2:61" x14ac:dyDescent="0.45">
      <c r="B980" s="1"/>
      <c r="D980" s="55"/>
      <c r="AT980" s="500"/>
      <c r="AU980" s="533"/>
      <c r="AV980" s="533"/>
      <c r="AW980" s="533"/>
      <c r="AX980" s="533"/>
      <c r="AY980" s="533"/>
      <c r="AZ980" s="533"/>
      <c r="BA980" s="533"/>
      <c r="BB980" s="533"/>
      <c r="BC980" s="533"/>
      <c r="BD980" s="533"/>
      <c r="BE980" s="533"/>
      <c r="BF980" s="533"/>
      <c r="BG980" s="533"/>
      <c r="BH980" s="533"/>
      <c r="BI980" s="500"/>
    </row>
    <row r="981" spans="2:61" ht="15.75" x14ac:dyDescent="0.45">
      <c r="B981" s="1"/>
      <c r="D981" s="55"/>
      <c r="AT981" s="500"/>
      <c r="AU981" s="533"/>
      <c r="AV981" s="533"/>
      <c r="AW981" s="533"/>
      <c r="AX981" s="541" t="s">
        <v>26</v>
      </c>
      <c r="AY981" s="533"/>
      <c r="AZ981" s="542" t="s">
        <v>154</v>
      </c>
      <c r="BA981" s="533"/>
      <c r="BB981" s="533"/>
      <c r="BC981" s="533"/>
      <c r="BD981" s="533"/>
      <c r="BE981" s="533"/>
      <c r="BF981" s="533"/>
      <c r="BG981" s="533"/>
      <c r="BH981" s="533"/>
      <c r="BI981" s="500"/>
    </row>
    <row r="982" spans="2:61" x14ac:dyDescent="0.45">
      <c r="B982" s="1"/>
      <c r="D982" s="55"/>
      <c r="AT982" s="500"/>
      <c r="AU982" s="533"/>
      <c r="AV982" s="533"/>
      <c r="AW982" s="533"/>
      <c r="AX982" s="533"/>
      <c r="AY982" s="533"/>
      <c r="AZ982" s="533"/>
      <c r="BA982" s="533"/>
      <c r="BB982" s="533"/>
      <c r="BC982" s="533"/>
      <c r="BD982" s="533"/>
      <c r="BE982" s="533"/>
      <c r="BF982" s="533"/>
      <c r="BG982" s="533"/>
      <c r="BH982" s="533"/>
      <c r="BI982" s="500"/>
    </row>
    <row r="983" spans="2:61" x14ac:dyDescent="0.45">
      <c r="B983" s="1"/>
      <c r="D983" s="55"/>
      <c r="AT983" s="532"/>
      <c r="AU983" s="532"/>
      <c r="AV983" s="532"/>
      <c r="AW983" s="532"/>
      <c r="AX983" s="532"/>
      <c r="AY983" s="532"/>
      <c r="AZ983" s="532"/>
      <c r="BA983" s="532"/>
      <c r="BB983" s="532"/>
      <c r="BC983" s="532"/>
      <c r="BD983" s="532"/>
      <c r="BE983" s="532"/>
      <c r="BF983" s="532"/>
      <c r="BG983" s="532"/>
      <c r="BH983" s="532"/>
      <c r="BI983" s="532"/>
    </row>
    <row r="984" spans="2:61" x14ac:dyDescent="0.45">
      <c r="B984" s="1"/>
      <c r="D984" s="55"/>
    </row>
    <row r="985" spans="2:61" x14ac:dyDescent="0.45">
      <c r="B985" s="1"/>
      <c r="D985" s="55"/>
      <c r="AS985" s="61"/>
      <c r="AT985" s="500"/>
      <c r="AU985" s="500"/>
      <c r="AV985" s="500"/>
      <c r="AW985" s="500"/>
      <c r="AX985" s="500"/>
      <c r="AY985" s="500"/>
      <c r="AZ985" s="500"/>
      <c r="BA985" s="500"/>
      <c r="BB985" s="500"/>
      <c r="BC985" s="500"/>
      <c r="BD985" s="500"/>
      <c r="BE985" s="500"/>
      <c r="BF985" s="500"/>
      <c r="BG985" s="500"/>
      <c r="BH985" s="500"/>
      <c r="BI985" s="500"/>
    </row>
    <row r="986" spans="2:61" x14ac:dyDescent="0.45">
      <c r="B986" s="1"/>
      <c r="D986" s="55"/>
      <c r="AT986" s="500"/>
      <c r="AU986" s="550"/>
      <c r="AV986" s="550"/>
      <c r="AW986" s="550"/>
      <c r="AX986" s="550"/>
      <c r="AY986" s="550"/>
      <c r="AZ986" s="550"/>
      <c r="BA986" s="550"/>
      <c r="BB986" s="550"/>
      <c r="BC986" s="550"/>
      <c r="BD986" s="550"/>
      <c r="BE986" s="550"/>
      <c r="BF986" s="550"/>
      <c r="BG986" s="550"/>
      <c r="BH986" s="550"/>
      <c r="BI986" s="500"/>
    </row>
    <row r="987" spans="2:61" ht="14.65" thickBot="1" x14ac:dyDescent="0.5">
      <c r="B987" s="1"/>
      <c r="D987" s="55"/>
      <c r="AT987" s="500"/>
      <c r="AU987" s="550"/>
      <c r="AV987" s="611" t="s">
        <v>160</v>
      </c>
      <c r="AW987" s="611"/>
      <c r="AX987" s="611"/>
      <c r="AY987" s="551"/>
      <c r="AZ987" s="551"/>
      <c r="BA987" s="552" t="s">
        <v>23</v>
      </c>
      <c r="BB987" s="553"/>
      <c r="BC987" s="552" t="s">
        <v>3</v>
      </c>
      <c r="BD987" s="553"/>
      <c r="BE987" s="552" t="s">
        <v>20</v>
      </c>
      <c r="BF987" s="553"/>
      <c r="BG987" s="552" t="s">
        <v>21</v>
      </c>
      <c r="BH987" s="550"/>
      <c r="BI987" s="500"/>
    </row>
    <row r="988" spans="2:61" x14ac:dyDescent="0.45">
      <c r="B988" s="1"/>
      <c r="AT988" s="500"/>
      <c r="AU988" s="550"/>
      <c r="AV988" s="551" t="s">
        <v>143</v>
      </c>
      <c r="AW988" s="551"/>
      <c r="AX988" s="551"/>
      <c r="AY988" s="551"/>
      <c r="AZ988" s="551"/>
      <c r="BA988" s="554">
        <f>+BK275</f>
        <v>13351981</v>
      </c>
      <c r="BB988" s="551"/>
      <c r="BC988" s="551"/>
      <c r="BD988" s="551"/>
      <c r="BE988" s="555">
        <f>+N143</f>
        <v>1970617</v>
      </c>
      <c r="BF988" s="551"/>
      <c r="BG988" s="556">
        <f>+BE988/BA988</f>
        <v>0.14758985951223269</v>
      </c>
      <c r="BH988" s="550"/>
      <c r="BI988" s="500"/>
    </row>
    <row r="989" spans="2:61" x14ac:dyDescent="0.45">
      <c r="B989" s="1"/>
      <c r="AT989" s="500"/>
      <c r="AU989" s="550"/>
      <c r="AV989" s="551"/>
      <c r="AW989" s="551"/>
      <c r="AX989" s="551"/>
      <c r="AY989" s="551"/>
      <c r="AZ989" s="551"/>
      <c r="BA989" s="554"/>
      <c r="BB989" s="551"/>
      <c r="BC989" s="551"/>
      <c r="BD989" s="551"/>
      <c r="BE989" s="551"/>
      <c r="BF989" s="551"/>
      <c r="BG989" s="556"/>
      <c r="BH989" s="550"/>
      <c r="BI989" s="500"/>
    </row>
    <row r="990" spans="2:61" x14ac:dyDescent="0.45">
      <c r="B990" s="1"/>
      <c r="AT990" s="500"/>
      <c r="AU990" s="550"/>
      <c r="AV990" s="551" t="s">
        <v>159</v>
      </c>
      <c r="AW990" s="551"/>
      <c r="AX990" s="551"/>
      <c r="AY990" s="551"/>
      <c r="AZ990" s="551"/>
      <c r="BA990" s="554">
        <v>52440389</v>
      </c>
      <c r="BB990" s="551"/>
      <c r="BC990" s="556">
        <f>+(BA990-BA988)/BA988</f>
        <v>2.9275362210296736</v>
      </c>
      <c r="BD990" s="551"/>
      <c r="BE990" s="555">
        <f>+N273</f>
        <v>1462688</v>
      </c>
      <c r="BF990" s="551"/>
      <c r="BG990" s="556">
        <f>+BE990/BA990</f>
        <v>2.7892394162064665E-2</v>
      </c>
      <c r="BH990" s="550"/>
      <c r="BI990" s="500"/>
    </row>
    <row r="991" spans="2:61" x14ac:dyDescent="0.45">
      <c r="B991" s="1"/>
      <c r="AT991" s="500"/>
      <c r="AU991" s="550"/>
      <c r="AV991" s="551"/>
      <c r="AW991" s="551"/>
      <c r="AX991" s="551"/>
      <c r="AY991" s="551"/>
      <c r="AZ991" s="551"/>
      <c r="BA991" s="554"/>
      <c r="BB991" s="551"/>
      <c r="BC991" s="551"/>
      <c r="BD991" s="551"/>
      <c r="BE991" s="551"/>
      <c r="BF991" s="551"/>
      <c r="BG991" s="551"/>
      <c r="BH991" s="550"/>
      <c r="BI991" s="500"/>
    </row>
    <row r="992" spans="2:61" x14ac:dyDescent="0.45">
      <c r="B992" s="1"/>
      <c r="AT992" s="500"/>
      <c r="AU992" s="550"/>
      <c r="AV992" s="632" t="s">
        <v>105</v>
      </c>
      <c r="AW992" s="632"/>
      <c r="AX992" s="632"/>
      <c r="AY992" s="632"/>
      <c r="AZ992" s="551"/>
      <c r="BA992" s="555">
        <f>+BA990-BA988</f>
        <v>39088408</v>
      </c>
      <c r="BB992" s="551"/>
      <c r="BC992" s="551"/>
      <c r="BD992" s="551"/>
      <c r="BE992" s="555">
        <f>+BE990-BE988</f>
        <v>-507929</v>
      </c>
      <c r="BF992" s="551"/>
      <c r="BG992" s="558"/>
      <c r="BH992" s="550"/>
      <c r="BI992" s="500"/>
    </row>
    <row r="993" spans="2:68" x14ac:dyDescent="0.45">
      <c r="B993" s="1"/>
      <c r="AT993" s="500"/>
      <c r="AU993" s="550"/>
      <c r="AV993" s="550"/>
      <c r="AW993" s="550"/>
      <c r="AX993" s="550"/>
      <c r="AY993" s="550"/>
      <c r="AZ993" s="550"/>
      <c r="BA993" s="550"/>
      <c r="BB993" s="550"/>
      <c r="BC993" s="550"/>
      <c r="BD993" s="550"/>
      <c r="BE993" s="550"/>
      <c r="BF993" s="550"/>
      <c r="BG993" s="550"/>
      <c r="BH993" s="550"/>
      <c r="BI993" s="500"/>
    </row>
    <row r="994" spans="2:68" x14ac:dyDescent="0.45">
      <c r="B994" s="1"/>
      <c r="AT994" s="500"/>
      <c r="AU994" s="500"/>
      <c r="AV994" s="500"/>
      <c r="AW994" s="500"/>
      <c r="AX994" s="500"/>
      <c r="AY994" s="500"/>
      <c r="AZ994" s="500"/>
      <c r="BA994" s="500"/>
      <c r="BB994" s="500"/>
      <c r="BC994" s="500"/>
      <c r="BD994" s="500"/>
      <c r="BE994" s="557"/>
      <c r="BF994" s="500"/>
      <c r="BG994" s="507"/>
      <c r="BH994" s="500"/>
      <c r="BI994" s="500"/>
    </row>
    <row r="995" spans="2:68" x14ac:dyDescent="0.45">
      <c r="B995" s="1"/>
    </row>
    <row r="996" spans="2:68" x14ac:dyDescent="0.45">
      <c r="B996" s="1"/>
    </row>
    <row r="997" spans="2:68" x14ac:dyDescent="0.45">
      <c r="B997" s="1"/>
      <c r="H997" s="1">
        <v>4000000</v>
      </c>
      <c r="AR997" s="500"/>
      <c r="AS997" s="500"/>
      <c r="AT997" s="500"/>
      <c r="AU997" s="500"/>
      <c r="AV997" s="500"/>
      <c r="AW997" s="500"/>
      <c r="AX997" s="500"/>
      <c r="AY997" s="500"/>
      <c r="AZ997" s="500"/>
      <c r="BA997" s="500"/>
      <c r="BB997" s="500"/>
      <c r="BC997" s="500"/>
      <c r="BD997" s="500"/>
      <c r="BE997" s="500"/>
      <c r="BF997" s="500"/>
      <c r="BG997" s="500"/>
      <c r="BH997" s="500"/>
      <c r="BI997" s="500"/>
    </row>
    <row r="998" spans="2:68" ht="15.75" x14ac:dyDescent="0.5">
      <c r="B998" s="1"/>
      <c r="H998" s="1"/>
      <c r="AR998" s="500"/>
      <c r="AS998" s="627" t="s">
        <v>169</v>
      </c>
      <c r="AT998" s="627"/>
      <c r="AU998" s="627"/>
      <c r="AV998" s="627"/>
      <c r="AW998" s="627"/>
      <c r="AX998" s="627"/>
      <c r="AY998" s="627"/>
      <c r="AZ998" s="627"/>
      <c r="BA998" s="627"/>
      <c r="BB998" s="627"/>
      <c r="BC998" s="627"/>
      <c r="BD998" s="627"/>
      <c r="BE998" s="627"/>
      <c r="BF998" s="627"/>
      <c r="BG998" s="627"/>
      <c r="BH998" s="627"/>
      <c r="BI998" s="500"/>
    </row>
    <row r="999" spans="2:68" x14ac:dyDescent="0.45">
      <c r="H999" s="1">
        <f>+H997/7</f>
        <v>571428.57142857148</v>
      </c>
      <c r="AR999" s="500"/>
      <c r="AS999" s="533"/>
      <c r="AT999" s="561"/>
      <c r="AU999" s="561"/>
      <c r="AV999" s="561"/>
      <c r="AW999" s="561"/>
      <c r="AX999" s="561"/>
      <c r="AY999" s="561"/>
      <c r="AZ999" s="561"/>
      <c r="BA999" s="561"/>
      <c r="BB999" s="561"/>
      <c r="BC999" s="561"/>
      <c r="BD999" s="561"/>
      <c r="BE999" s="633" t="s">
        <v>165</v>
      </c>
      <c r="BF999" s="561"/>
      <c r="BG999" s="639" t="s">
        <v>166</v>
      </c>
      <c r="BH999" s="533"/>
      <c r="BI999" s="500"/>
    </row>
    <row r="1000" spans="2:68" x14ac:dyDescent="0.45">
      <c r="AR1000" s="500"/>
      <c r="AS1000" s="533"/>
      <c r="AT1000" s="609" t="s">
        <v>19</v>
      </c>
      <c r="AU1000" s="609"/>
      <c r="AV1000" s="609"/>
      <c r="AW1000" s="609"/>
      <c r="AX1000" s="609"/>
      <c r="AY1000" s="609"/>
      <c r="AZ1000" s="561"/>
      <c r="BA1000" s="560" t="s">
        <v>20</v>
      </c>
      <c r="BB1000" s="561"/>
      <c r="BC1000" s="560" t="s">
        <v>164</v>
      </c>
      <c r="BD1000" s="561"/>
      <c r="BE1000" s="634"/>
      <c r="BF1000" s="561"/>
      <c r="BG1000" s="637"/>
      <c r="BH1000" s="533"/>
      <c r="BI1000" s="500"/>
    </row>
    <row r="1001" spans="2:68" x14ac:dyDescent="0.45">
      <c r="H1001" t="s">
        <v>167</v>
      </c>
      <c r="J1001">
        <v>28</v>
      </c>
      <c r="N1001" s="1">
        <f>+H999*J1001</f>
        <v>16000000.000000002</v>
      </c>
      <c r="AR1001" s="500"/>
      <c r="AS1001" s="533"/>
      <c r="AT1001" s="629" t="s">
        <v>161</v>
      </c>
      <c r="AU1001" s="629"/>
      <c r="AV1001" s="629"/>
      <c r="AW1001" s="629"/>
      <c r="AX1001" s="629"/>
      <c r="AY1001" s="561"/>
      <c r="AZ1001" s="561"/>
      <c r="BA1001" s="562">
        <f>+H174</f>
        <v>6826001</v>
      </c>
      <c r="BB1001" s="561"/>
      <c r="BC1001" s="561">
        <v>10</v>
      </c>
      <c r="BD1001" s="561"/>
      <c r="BE1001" s="563">
        <f>+BA1001*BC1001</f>
        <v>68260010</v>
      </c>
      <c r="BF1001" s="561"/>
      <c r="BG1001" s="561"/>
      <c r="BH1001" s="533"/>
      <c r="BI1001" s="500"/>
      <c r="BP1001" s="56">
        <f>+BE1001-BA1001</f>
        <v>61434009</v>
      </c>
    </row>
    <row r="1002" spans="2:68" x14ac:dyDescent="0.45">
      <c r="D1002" s="56">
        <f>+N1001+N1002</f>
        <v>33714285.714285716</v>
      </c>
      <c r="H1002" t="s">
        <v>168</v>
      </c>
      <c r="J1002">
        <v>31</v>
      </c>
      <c r="N1002" s="1">
        <f>+J1002*H$999</f>
        <v>17714285.714285716</v>
      </c>
      <c r="AR1002" s="500"/>
      <c r="AS1002" s="533"/>
      <c r="AT1002" s="629" t="s">
        <v>170</v>
      </c>
      <c r="AU1002" s="629"/>
      <c r="AV1002" s="629"/>
      <c r="AW1002" s="629"/>
      <c r="AX1002" s="629"/>
      <c r="AY1002" s="561"/>
      <c r="AZ1002" s="561"/>
      <c r="BA1002" s="562">
        <f>+BA1014-BA1001</f>
        <v>3109228</v>
      </c>
      <c r="BB1002" s="561"/>
      <c r="BC1002" s="561">
        <v>5</v>
      </c>
      <c r="BD1002" s="561"/>
      <c r="BE1002" s="563">
        <f>+BA1002*BC1002</f>
        <v>15546140</v>
      </c>
      <c r="BF1002" s="561"/>
      <c r="BG1002" s="561"/>
      <c r="BH1002" s="533"/>
      <c r="BI1002" s="500"/>
      <c r="BP1002" s="56">
        <f>+BE1002-BA1002</f>
        <v>12436912</v>
      </c>
    </row>
    <row r="1003" spans="2:68" x14ac:dyDescent="0.45">
      <c r="D1003" s="56">
        <f>+D1002+N1003</f>
        <v>50857142.857142866</v>
      </c>
      <c r="H1003" t="s">
        <v>138</v>
      </c>
      <c r="J1003">
        <v>30</v>
      </c>
      <c r="N1003" s="1">
        <f>+J1003*H$999</f>
        <v>17142857.142857146</v>
      </c>
      <c r="AR1003" s="500"/>
      <c r="AS1003" s="533"/>
      <c r="AT1003" s="629" t="s">
        <v>162</v>
      </c>
      <c r="AU1003" s="629"/>
      <c r="AV1003" s="629"/>
      <c r="AW1003" s="629"/>
      <c r="AX1003" s="629"/>
      <c r="AY1003" s="629"/>
      <c r="AZ1003" s="629"/>
      <c r="BA1003" s="562">
        <f>+BA1016-BA1014</f>
        <v>16784558</v>
      </c>
      <c r="BB1003" s="561"/>
      <c r="BC1003" s="561">
        <v>1</v>
      </c>
      <c r="BD1003" s="561"/>
      <c r="BE1003" s="563">
        <f>+BC1003*BA1003</f>
        <v>16784558</v>
      </c>
      <c r="BF1003" s="561"/>
      <c r="BG1003" s="561"/>
      <c r="BH1003" s="533"/>
      <c r="BI1003" s="500"/>
      <c r="BP1003" s="56">
        <f>+BE1003-BA1003</f>
        <v>0</v>
      </c>
    </row>
    <row r="1004" spans="2:68" x14ac:dyDescent="0.45">
      <c r="D1004" s="56">
        <f>+D1003+N1004</f>
        <v>68571428.571428582</v>
      </c>
      <c r="H1004" t="s">
        <v>139</v>
      </c>
      <c r="J1004">
        <v>31</v>
      </c>
      <c r="N1004" s="1">
        <f>+J1004*H$999</f>
        <v>17714285.714285716</v>
      </c>
      <c r="AR1004" s="500"/>
      <c r="AS1004" s="533"/>
      <c r="AT1004" s="569" t="s">
        <v>182</v>
      </c>
      <c r="AU1004" s="561"/>
      <c r="AV1004" s="561"/>
      <c r="AW1004" s="561"/>
      <c r="AX1004" s="561"/>
      <c r="AY1004" s="561"/>
      <c r="AZ1004" s="561"/>
      <c r="BA1004" s="562">
        <f>SUM(D328:D386)</f>
        <v>4197929</v>
      </c>
      <c r="BB1004" s="561"/>
      <c r="BC1004" s="561">
        <v>1</v>
      </c>
      <c r="BD1004" s="561"/>
      <c r="BE1004" s="563">
        <f>+BC1004*BA1004</f>
        <v>4197929</v>
      </c>
      <c r="BF1004" s="561"/>
      <c r="BG1004" s="561"/>
      <c r="BH1004" s="533"/>
      <c r="BI1004" s="500"/>
      <c r="BP1004" s="56">
        <f>+BE1004-BA1004</f>
        <v>0</v>
      </c>
    </row>
    <row r="1005" spans="2:68" x14ac:dyDescent="0.45">
      <c r="D1005" s="56"/>
      <c r="N1005" s="1"/>
      <c r="AR1005" s="500"/>
      <c r="AS1005" s="533"/>
      <c r="AT1005" s="569" t="s">
        <v>187</v>
      </c>
      <c r="AU1005" s="561"/>
      <c r="AV1005" s="561"/>
      <c r="AW1005" s="561"/>
      <c r="AX1005" s="561"/>
      <c r="AY1005" s="561"/>
      <c r="AZ1005" s="561"/>
      <c r="BA1005" s="562">
        <f>SUM(D387:D509)</f>
        <v>4225210</v>
      </c>
      <c r="BB1005" s="561"/>
      <c r="BC1005" s="561">
        <v>1</v>
      </c>
      <c r="BD1005" s="561"/>
      <c r="BE1005" s="563">
        <f>+BC1005*BA1005</f>
        <v>4225210</v>
      </c>
      <c r="BF1005" s="561"/>
      <c r="BG1005" s="561"/>
      <c r="BH1005" s="533"/>
      <c r="BI1005" s="500"/>
      <c r="BP1005" s="56"/>
    </row>
    <row r="1006" spans="2:68" x14ac:dyDescent="0.45">
      <c r="AR1006" s="500"/>
      <c r="AS1006" s="533"/>
      <c r="AT1006" s="629" t="s">
        <v>188</v>
      </c>
      <c r="AU1006" s="629"/>
      <c r="AV1006" s="629"/>
      <c r="AW1006" s="629"/>
      <c r="AX1006" s="629"/>
      <c r="AY1006" s="629"/>
      <c r="AZ1006" s="629"/>
      <c r="BA1006" s="585">
        <f>SUM(D510:D635)</f>
        <v>11511436</v>
      </c>
      <c r="BB1006" s="561"/>
      <c r="BC1006" s="561"/>
      <c r="BD1006" s="561"/>
      <c r="BE1006" s="563"/>
      <c r="BF1006" s="561"/>
      <c r="BG1006" s="561"/>
      <c r="BH1006" s="533"/>
      <c r="BI1006" s="500"/>
      <c r="BP1006" s="56">
        <f>+BA1004-BA1005</f>
        <v>-27281</v>
      </c>
    </row>
    <row r="1007" spans="2:68" ht="14.65" thickBot="1" x14ac:dyDescent="0.5">
      <c r="D1007" s="56">
        <f>+BE1007+D1004</f>
        <v>177585275.5714286</v>
      </c>
      <c r="H1007" s="59">
        <f>+D1007/320000000</f>
        <v>0.55495398616071434</v>
      </c>
      <c r="AR1007" s="500"/>
      <c r="AS1007" s="533"/>
      <c r="AT1007" s="561"/>
      <c r="AU1007" s="561"/>
      <c r="AV1007" s="561"/>
      <c r="AW1007" s="561"/>
      <c r="AX1007" s="561"/>
      <c r="AY1007" s="561"/>
      <c r="AZ1007" s="561"/>
      <c r="BA1007" s="564">
        <f>SUM(BA1001:BA1006)</f>
        <v>46654362</v>
      </c>
      <c r="BB1007" s="561"/>
      <c r="BC1007" s="561"/>
      <c r="BD1007" s="561"/>
      <c r="BE1007" s="564">
        <f>SUM(BE1001:BE1006)</f>
        <v>109013847</v>
      </c>
      <c r="BF1007" s="561"/>
      <c r="BG1007" s="565">
        <f>+BE1007/320000000</f>
        <v>0.34066827187499998</v>
      </c>
      <c r="BH1007" s="533"/>
      <c r="BI1007" s="500"/>
      <c r="BP1007" s="59">
        <f>+BP1006/BA1004</f>
        <v>-6.4986806589630271E-3</v>
      </c>
    </row>
    <row r="1008" spans="2:68" ht="14.65" thickTop="1" x14ac:dyDescent="0.45">
      <c r="D1008" s="56"/>
      <c r="H1008" s="59"/>
      <c r="AR1008" s="500"/>
      <c r="AS1008" s="533"/>
      <c r="AT1008" s="575" t="s">
        <v>184</v>
      </c>
      <c r="AU1008" s="561"/>
      <c r="AV1008" s="561"/>
      <c r="AW1008" s="561"/>
      <c r="AX1008" s="561"/>
      <c r="AY1008" s="561"/>
      <c r="AZ1008" s="561"/>
      <c r="BA1008" s="484">
        <f>+BY1028</f>
        <v>0.61144144144144141</v>
      </c>
      <c r="BB1008" s="561"/>
      <c r="BC1008" s="561"/>
      <c r="BD1008" s="561"/>
      <c r="BE1008" s="574"/>
      <c r="BF1008" s="561"/>
      <c r="BG1008" s="484"/>
      <c r="BH1008" s="533"/>
      <c r="BI1008" s="500"/>
      <c r="BP1008" s="59"/>
    </row>
    <row r="1009" spans="4:79" x14ac:dyDescent="0.45">
      <c r="D1009" s="56"/>
      <c r="H1009" s="59"/>
      <c r="AR1009" s="500"/>
      <c r="AS1009" s="533"/>
      <c r="AT1009" s="575" t="s">
        <v>186</v>
      </c>
      <c r="AU1009" s="561"/>
      <c r="AV1009" s="561"/>
      <c r="AW1009" s="561"/>
      <c r="AX1009" s="561"/>
      <c r="AY1009" s="561"/>
      <c r="AZ1009" s="561"/>
      <c r="BA1009" s="576">
        <f>+BA1007*BA1008</f>
        <v>28526410.350810811</v>
      </c>
      <c r="BB1009" s="561"/>
      <c r="BC1009" s="561"/>
      <c r="BD1009" s="561"/>
      <c r="BE1009" s="574"/>
      <c r="BF1009" s="561"/>
      <c r="BG1009" s="484"/>
      <c r="BH1009" s="533"/>
      <c r="BI1009" s="500"/>
      <c r="BP1009" s="59"/>
    </row>
    <row r="1010" spans="4:79" ht="14.65" thickBot="1" x14ac:dyDescent="0.5">
      <c r="D1010" s="56"/>
      <c r="H1010" s="59"/>
      <c r="AR1010" s="500"/>
      <c r="AS1010" s="533"/>
      <c r="AT1010" s="575" t="s">
        <v>185</v>
      </c>
      <c r="AU1010" s="561"/>
      <c r="AV1010" s="561"/>
      <c r="AW1010" s="561"/>
      <c r="AX1010" s="561"/>
      <c r="AY1010" s="561"/>
      <c r="AZ1010" s="561"/>
      <c r="BA1010" s="564">
        <f>+BA1007-BA1009</f>
        <v>18127951.649189189</v>
      </c>
      <c r="BB1010" s="561"/>
      <c r="BC1010" s="561"/>
      <c r="BD1010" s="561"/>
      <c r="BE1010" s="574"/>
      <c r="BF1010" s="561"/>
      <c r="BG1010" s="484"/>
      <c r="BH1010" s="533"/>
      <c r="BI1010" s="500"/>
      <c r="BP1010" s="59"/>
    </row>
    <row r="1011" spans="4:79" ht="14.65" thickTop="1" x14ac:dyDescent="0.45">
      <c r="AR1011" s="500"/>
      <c r="AS1011" s="533"/>
      <c r="AT1011" s="561"/>
      <c r="AU1011" s="561"/>
      <c r="AV1011" s="561"/>
      <c r="AW1011" s="561"/>
      <c r="AX1011" s="561"/>
      <c r="AY1011" s="561"/>
      <c r="AZ1011" s="561"/>
      <c r="BA1011" s="561"/>
      <c r="BB1011" s="561"/>
      <c r="BC1011" s="561"/>
      <c r="BD1011" s="561"/>
      <c r="BE1011" s="561"/>
      <c r="BF1011" s="561"/>
      <c r="BG1011" s="561"/>
      <c r="BH1011" s="533"/>
      <c r="BI1011" s="500"/>
      <c r="BP1011">
        <v>35761323</v>
      </c>
      <c r="BR1011" s="56">
        <f>+BA1007-BP1011</f>
        <v>10893039</v>
      </c>
    </row>
    <row r="1012" spans="4:79" x14ac:dyDescent="0.45">
      <c r="AR1012" s="500"/>
      <c r="AS1012" s="500"/>
      <c r="AT1012" s="500"/>
      <c r="AU1012" s="500"/>
      <c r="AV1012" s="500"/>
      <c r="AW1012" s="500"/>
      <c r="AX1012" s="500"/>
      <c r="AY1012" s="500"/>
      <c r="AZ1012" s="500"/>
      <c r="BA1012" s="500"/>
      <c r="BB1012" s="500"/>
      <c r="BC1012" s="500"/>
      <c r="BD1012" s="500"/>
      <c r="BE1012" s="500"/>
      <c r="BF1012" s="500"/>
      <c r="BG1012" s="500"/>
      <c r="BH1012" s="500"/>
      <c r="BI1012" s="500"/>
    </row>
    <row r="1013" spans="4:79" x14ac:dyDescent="0.45">
      <c r="BP1013" s="587">
        <v>221538504.58886749</v>
      </c>
      <c r="BQ1013" s="588"/>
      <c r="BR1013" s="588"/>
      <c r="BS1013" s="588"/>
      <c r="BT1013" s="588"/>
    </row>
    <row r="1014" spans="4:79" x14ac:dyDescent="0.45">
      <c r="AV1014" t="s">
        <v>153</v>
      </c>
      <c r="BA1014" s="56">
        <f>+H235</f>
        <v>9935229</v>
      </c>
    </row>
    <row r="1016" spans="4:79" x14ac:dyDescent="0.45">
      <c r="AV1016" t="s">
        <v>163</v>
      </c>
      <c r="BA1016" s="56">
        <f>+H327</f>
        <v>26719787</v>
      </c>
    </row>
    <row r="1017" spans="4:79" x14ac:dyDescent="0.45">
      <c r="BA1017" s="56"/>
    </row>
    <row r="1018" spans="4:79" x14ac:dyDescent="0.45">
      <c r="AR1018" s="500"/>
      <c r="AS1018" s="500"/>
      <c r="AT1018" s="500"/>
      <c r="AU1018" s="500"/>
      <c r="AV1018" s="500"/>
      <c r="AW1018" s="500"/>
      <c r="AX1018" s="500"/>
      <c r="AY1018" s="500"/>
      <c r="AZ1018" s="500"/>
      <c r="BA1018" s="557"/>
      <c r="BB1018" s="500"/>
      <c r="BC1018" s="500"/>
      <c r="BD1018" s="500"/>
      <c r="BE1018" s="500"/>
      <c r="BF1018" s="500"/>
      <c r="BG1018" s="500"/>
      <c r="BH1018" s="500"/>
      <c r="BI1018" s="500"/>
      <c r="BJ1018" s="500"/>
      <c r="BK1018" s="500"/>
      <c r="BL1018" s="500"/>
      <c r="BM1018" s="500"/>
      <c r="BN1018" s="500"/>
      <c r="BO1018" s="500"/>
      <c r="BP1018" s="500"/>
      <c r="BQ1018" s="500"/>
      <c r="BR1018" s="500"/>
      <c r="BS1018" s="500"/>
      <c r="BT1018" s="500"/>
      <c r="BU1018" s="500"/>
      <c r="BV1018" s="500"/>
      <c r="BW1018" s="500"/>
    </row>
    <row r="1019" spans="4:79" ht="14.45" customHeight="1" x14ac:dyDescent="0.45">
      <c r="AR1019" s="500"/>
      <c r="AS1019" s="533"/>
      <c r="AT1019" s="609" t="s">
        <v>175</v>
      </c>
      <c r="AU1019" s="609"/>
      <c r="AV1019" s="609"/>
      <c r="AW1019" s="609"/>
      <c r="AX1019" s="609"/>
      <c r="AY1019" s="609"/>
      <c r="AZ1019" s="609"/>
      <c r="BA1019" s="609"/>
      <c r="BB1019" s="609"/>
      <c r="BC1019" s="609"/>
      <c r="BD1019" s="609"/>
      <c r="BE1019" s="609"/>
      <c r="BF1019" s="609"/>
      <c r="BG1019" s="609"/>
      <c r="BH1019" s="609"/>
      <c r="BI1019" s="609"/>
      <c r="BJ1019" s="609"/>
      <c r="BK1019" s="609"/>
      <c r="BL1019" s="609"/>
      <c r="BM1019" s="609"/>
      <c r="BN1019" s="609"/>
      <c r="BO1019" s="609"/>
      <c r="BP1019" s="609"/>
      <c r="BQ1019" s="609"/>
      <c r="BR1019" s="609"/>
      <c r="BS1019" s="609"/>
      <c r="BT1019" s="609"/>
      <c r="BU1019" s="609"/>
      <c r="BV1019" s="609"/>
      <c r="BW1019" s="500"/>
    </row>
    <row r="1020" spans="4:79" ht="14.45" customHeight="1" x14ac:dyDescent="0.45">
      <c r="AR1020" s="500"/>
      <c r="AS1020" s="533"/>
      <c r="AT1020" s="533"/>
      <c r="AU1020" s="533"/>
      <c r="AV1020" s="533"/>
      <c r="AW1020" s="533"/>
      <c r="AX1020" s="533"/>
      <c r="AY1020" s="533"/>
      <c r="AZ1020" s="533"/>
      <c r="BA1020" s="630" t="s">
        <v>171</v>
      </c>
      <c r="BB1020" s="630"/>
      <c r="BC1020" s="630"/>
      <c r="BD1020" s="630"/>
      <c r="BE1020" s="630"/>
      <c r="BF1020" s="561"/>
      <c r="BG1020" s="609" t="s">
        <v>179</v>
      </c>
      <c r="BH1020" s="609"/>
      <c r="BI1020" s="609"/>
      <c r="BJ1020" s="609"/>
      <c r="BK1020" s="609"/>
      <c r="BL1020" s="609"/>
      <c r="BM1020" s="609"/>
      <c r="BN1020" s="609"/>
      <c r="BO1020" s="609"/>
      <c r="BP1020" s="609"/>
      <c r="BQ1020" s="533"/>
      <c r="BR1020" s="636" t="s">
        <v>175</v>
      </c>
      <c r="BS1020" s="636"/>
      <c r="BT1020" s="636"/>
      <c r="BU1020" s="636"/>
      <c r="BV1020" s="636"/>
      <c r="BW1020" s="500"/>
    </row>
    <row r="1021" spans="4:79" x14ac:dyDescent="0.45">
      <c r="AR1021" s="500"/>
      <c r="AS1021" s="533"/>
      <c r="AT1021" s="533"/>
      <c r="AU1021" s="533"/>
      <c r="AV1021" s="533"/>
      <c r="AW1021" s="533"/>
      <c r="AX1021" s="533"/>
      <c r="AY1021" s="533"/>
      <c r="AZ1021" s="533"/>
      <c r="BA1021" s="570" t="s">
        <v>176</v>
      </c>
      <c r="BB1021" s="571"/>
      <c r="BC1021" s="572" t="s">
        <v>181</v>
      </c>
      <c r="BD1021" s="571"/>
      <c r="BE1021" s="572" t="s">
        <v>177</v>
      </c>
      <c r="BF1021" s="561"/>
      <c r="BG1021" s="570"/>
      <c r="BH1021" s="571"/>
      <c r="BI1021" s="631"/>
      <c r="BJ1021" s="631"/>
      <c r="BK1021" s="631"/>
      <c r="BL1021" s="631"/>
      <c r="BM1021" s="631"/>
      <c r="BN1021" s="631"/>
      <c r="BO1021" s="473"/>
      <c r="BP1021" s="572"/>
      <c r="BQ1021" s="533"/>
      <c r="BR1021" s="637"/>
      <c r="BS1021" s="637"/>
      <c r="BT1021" s="637"/>
      <c r="BU1021" s="637"/>
      <c r="BV1021" s="637"/>
      <c r="BW1021" s="500"/>
    </row>
    <row r="1022" spans="4:79" x14ac:dyDescent="0.45">
      <c r="AR1022" s="500"/>
      <c r="AS1022" s="533"/>
      <c r="AT1022" s="533"/>
      <c r="AU1022" s="533"/>
      <c r="AV1022" s="533"/>
      <c r="AW1022" s="533"/>
      <c r="AX1022" s="533"/>
      <c r="AY1022" s="533"/>
      <c r="AZ1022" s="533"/>
      <c r="BA1022" s="568" t="s">
        <v>172</v>
      </c>
      <c r="BB1022" s="566"/>
      <c r="BC1022" s="568" t="s">
        <v>174</v>
      </c>
      <c r="BD1022" s="566"/>
      <c r="BE1022" s="568" t="s">
        <v>173</v>
      </c>
      <c r="BF1022" s="561"/>
      <c r="BG1022" s="567" t="s">
        <v>179</v>
      </c>
      <c r="BH1022" s="561"/>
      <c r="BI1022" s="596" t="s">
        <v>183</v>
      </c>
      <c r="BJ1022" s="596"/>
      <c r="BK1022" s="596"/>
      <c r="BL1022" s="596"/>
      <c r="BM1022" s="596"/>
      <c r="BN1022" s="596"/>
      <c r="BO1022" s="561"/>
      <c r="BP1022" s="568" t="s">
        <v>180</v>
      </c>
      <c r="BQ1022" s="533"/>
      <c r="BR1022" s="638" t="s">
        <v>178</v>
      </c>
      <c r="BS1022" s="638"/>
      <c r="BT1022" s="638"/>
      <c r="BU1022" s="638"/>
      <c r="BV1022" s="638"/>
      <c r="BW1022" s="500"/>
    </row>
    <row r="1023" spans="4:79" x14ac:dyDescent="0.45">
      <c r="AR1023" s="500"/>
      <c r="AS1023" s="533"/>
      <c r="AT1023" s="629" t="s">
        <v>161</v>
      </c>
      <c r="AU1023" s="629"/>
      <c r="AV1023" s="629"/>
      <c r="AW1023" s="629"/>
      <c r="AX1023" s="629"/>
      <c r="AY1023" s="561"/>
      <c r="AZ1023" s="561"/>
      <c r="BA1023" s="562">
        <f>+BA1001</f>
        <v>6826001</v>
      </c>
      <c r="BB1023" s="561"/>
      <c r="BC1023" s="562">
        <f>+BE1023-BA1023</f>
        <v>61434009</v>
      </c>
      <c r="BD1023" s="561"/>
      <c r="BE1023" s="562">
        <f>+BE1001</f>
        <v>68260010</v>
      </c>
      <c r="BF1023" s="533"/>
      <c r="BG1023" s="563">
        <v>0</v>
      </c>
      <c r="BH1023" s="563"/>
      <c r="BI1023" s="563"/>
      <c r="BJ1023" s="563"/>
      <c r="BK1023" s="563"/>
      <c r="BL1023" s="563"/>
      <c r="BM1023" s="563"/>
      <c r="BN1023" s="563">
        <f>+BG1023</f>
        <v>0</v>
      </c>
      <c r="BO1023" s="563"/>
      <c r="BP1023" s="563">
        <f>+BN1023*0.5</f>
        <v>0</v>
      </c>
      <c r="BQ1023" s="561"/>
      <c r="BR1023" s="587">
        <f t="shared" ref="BR1023:BR1028" si="5171">+BE1023+BP1023</f>
        <v>68260010</v>
      </c>
      <c r="BS1023" s="588"/>
      <c r="BT1023" s="588"/>
      <c r="BU1023" s="588"/>
      <c r="BV1023" s="588"/>
      <c r="BW1023" s="500"/>
      <c r="CA1023" s="56">
        <f>+BR1023</f>
        <v>68260010</v>
      </c>
    </row>
    <row r="1024" spans="4:79" x14ac:dyDescent="0.45">
      <c r="AR1024" s="500"/>
      <c r="AS1024" s="533"/>
      <c r="AT1024" s="629" t="s">
        <v>170</v>
      </c>
      <c r="AU1024" s="629"/>
      <c r="AV1024" s="629"/>
      <c r="AW1024" s="629"/>
      <c r="AX1024" s="629"/>
      <c r="AY1024" s="561"/>
      <c r="AZ1024" s="561"/>
      <c r="BA1024" s="562">
        <f>+BA1023+BA1002</f>
        <v>9935229</v>
      </c>
      <c r="BB1024" s="561"/>
      <c r="BC1024" s="562">
        <f>+BE1024-BA1024</f>
        <v>73870921</v>
      </c>
      <c r="BD1024" s="561"/>
      <c r="BE1024" s="562">
        <f>+BE1023+BE1002</f>
        <v>83806150</v>
      </c>
      <c r="BF1024" s="533"/>
      <c r="BG1024" s="563">
        <v>0</v>
      </c>
      <c r="BH1024" s="563"/>
      <c r="BI1024" s="563"/>
      <c r="BJ1024" s="563"/>
      <c r="BK1024" s="563"/>
      <c r="BL1024" s="563"/>
      <c r="BM1024" s="563"/>
      <c r="BN1024" s="563">
        <f>+BN1023+BG1024</f>
        <v>0</v>
      </c>
      <c r="BO1024" s="563"/>
      <c r="BP1024" s="563">
        <f>+BN1024*0.5</f>
        <v>0</v>
      </c>
      <c r="BQ1024" s="561"/>
      <c r="BR1024" s="587">
        <f t="shared" si="5171"/>
        <v>83806150</v>
      </c>
      <c r="BS1024" s="588"/>
      <c r="BT1024" s="588"/>
      <c r="BU1024" s="588"/>
      <c r="BV1024" s="588"/>
      <c r="BW1024" s="500"/>
    </row>
    <row r="1025" spans="42:90" x14ac:dyDescent="0.45">
      <c r="AR1025" s="500"/>
      <c r="AS1025" s="533"/>
      <c r="AT1025" s="629" t="s">
        <v>162</v>
      </c>
      <c r="AU1025" s="629"/>
      <c r="AV1025" s="629"/>
      <c r="AW1025" s="629"/>
      <c r="AX1025" s="629"/>
      <c r="AY1025" s="629"/>
      <c r="AZ1025" s="629"/>
      <c r="BA1025" s="562">
        <f>+BA1024+BA1003</f>
        <v>26719787</v>
      </c>
      <c r="BB1025" s="561"/>
      <c r="BC1025" s="562">
        <f>(+BE1025-BA1025)*(1-0.2)</f>
        <v>59096736.800000004</v>
      </c>
      <c r="BD1025" s="561"/>
      <c r="BE1025" s="562">
        <f>+BE1024+BE1003</f>
        <v>100590708</v>
      </c>
      <c r="BF1025" s="533"/>
      <c r="BG1025" s="563">
        <f>13400000+5660000</f>
        <v>19060000</v>
      </c>
      <c r="BH1025" s="563"/>
      <c r="BI1025" s="589"/>
      <c r="BJ1025" s="589"/>
      <c r="BK1025" s="589"/>
      <c r="BL1025" s="589"/>
      <c r="BM1025" s="589"/>
      <c r="BN1025" s="589"/>
      <c r="BO1025" s="563"/>
      <c r="BP1025" s="563">
        <f>+BG1025</f>
        <v>19060000</v>
      </c>
      <c r="BQ1025" s="561"/>
      <c r="BR1025" s="587">
        <f t="shared" si="5171"/>
        <v>119650708</v>
      </c>
      <c r="BS1025" s="588"/>
      <c r="BT1025" s="588"/>
      <c r="BU1025" s="588"/>
      <c r="BV1025" s="588"/>
      <c r="BW1025" s="500"/>
    </row>
    <row r="1026" spans="42:90" x14ac:dyDescent="0.45">
      <c r="AR1026" s="500"/>
      <c r="AS1026" s="533"/>
      <c r="AT1026" s="569" t="s">
        <v>182</v>
      </c>
      <c r="AU1026" s="561"/>
      <c r="AV1026" s="561"/>
      <c r="AW1026" s="561"/>
      <c r="AX1026" s="561"/>
      <c r="AY1026" s="561"/>
      <c r="AZ1026" s="561"/>
      <c r="BA1026" s="562">
        <f>+BA1025+BA1004</f>
        <v>30917716</v>
      </c>
      <c r="BB1026" s="561"/>
      <c r="BC1026" s="562">
        <f>(+BE1026-BA1026)*(1-0.34)</f>
        <v>48754807.859999992</v>
      </c>
      <c r="BD1026" s="561"/>
      <c r="BE1026" s="562">
        <f>+BE1025+BE1004</f>
        <v>104788637</v>
      </c>
      <c r="BF1026" s="533"/>
      <c r="BG1026" s="563">
        <f>53420000-BG1025</f>
        <v>34360000</v>
      </c>
      <c r="BH1026" s="563"/>
      <c r="BI1026" s="589"/>
      <c r="BJ1026" s="589"/>
      <c r="BK1026" s="589"/>
      <c r="BL1026" s="589"/>
      <c r="BM1026" s="589"/>
      <c r="BN1026" s="589"/>
      <c r="BO1026" s="563"/>
      <c r="BP1026" s="563">
        <f>+BP1025+BG1026</f>
        <v>53420000</v>
      </c>
      <c r="BQ1026" s="561"/>
      <c r="BR1026" s="587">
        <f t="shared" si="5171"/>
        <v>158208637</v>
      </c>
      <c r="BS1026" s="588"/>
      <c r="BT1026" s="588"/>
      <c r="BU1026" s="588"/>
      <c r="BV1026" s="588"/>
      <c r="BW1026" s="500"/>
    </row>
    <row r="1027" spans="42:90" x14ac:dyDescent="0.45">
      <c r="AR1027" s="500"/>
      <c r="AS1027" s="533"/>
      <c r="AT1027" s="569" t="s">
        <v>187</v>
      </c>
      <c r="AU1027" s="561"/>
      <c r="AV1027" s="561"/>
      <c r="AW1027" s="561"/>
      <c r="AX1027" s="561"/>
      <c r="AY1027" s="561"/>
      <c r="AZ1027" s="561"/>
      <c r="BA1027" s="562">
        <v>17702720</v>
      </c>
      <c r="BB1027" s="561"/>
      <c r="BC1027" s="562">
        <v>36659557</v>
      </c>
      <c r="BD1027" s="561"/>
      <c r="BE1027" s="562">
        <f>+BA1027+BC1027</f>
        <v>54362277</v>
      </c>
      <c r="BF1027" s="533"/>
      <c r="BG1027" s="563">
        <f>164760000-BP1026</f>
        <v>111340000</v>
      </c>
      <c r="BH1027" s="563"/>
      <c r="BI1027" s="589"/>
      <c r="BJ1027" s="589"/>
      <c r="BK1027" s="589"/>
      <c r="BL1027" s="589"/>
      <c r="BM1027" s="589"/>
      <c r="BN1027" s="589"/>
      <c r="BO1027" s="563"/>
      <c r="BP1027" s="563">
        <f>+BP1026+BG1027</f>
        <v>164760000</v>
      </c>
      <c r="BQ1027" s="561"/>
      <c r="BR1027" s="587">
        <f t="shared" si="5171"/>
        <v>219122277</v>
      </c>
      <c r="BS1027" s="588"/>
      <c r="BT1027" s="588"/>
      <c r="BU1027" s="588"/>
      <c r="BV1027" s="588"/>
      <c r="BW1027" s="500"/>
      <c r="CL1027" s="1">
        <v>333000000</v>
      </c>
    </row>
    <row r="1028" spans="42:90" x14ac:dyDescent="0.45">
      <c r="AR1028" s="500"/>
      <c r="AS1028" s="533"/>
      <c r="AT1028" s="569" t="s">
        <v>188</v>
      </c>
      <c r="AU1028" s="561"/>
      <c r="AV1028" s="561"/>
      <c r="AW1028" s="561"/>
      <c r="AX1028" s="561"/>
      <c r="AY1028" s="561"/>
      <c r="AZ1028" s="561"/>
      <c r="BA1028" s="562">
        <f>+BA1010</f>
        <v>18127951.649189189</v>
      </c>
      <c r="BB1028" s="561"/>
      <c r="BC1028" s="562">
        <f>+BC1024*BY1028</f>
        <v>45167742.416846842</v>
      </c>
      <c r="BD1028" s="561"/>
      <c r="BE1028" s="562">
        <f>+BA1028+BC1028</f>
        <v>63295694.066036031</v>
      </c>
      <c r="BF1028" s="533"/>
      <c r="BG1028" s="563">
        <f>203610000-BP1027</f>
        <v>38850000</v>
      </c>
      <c r="BH1028" s="563"/>
      <c r="BI1028" s="589"/>
      <c r="BJ1028" s="589"/>
      <c r="BK1028" s="589"/>
      <c r="BL1028" s="589"/>
      <c r="BM1028" s="589"/>
      <c r="BN1028" s="589"/>
      <c r="BO1028" s="563"/>
      <c r="BP1028" s="563">
        <f>+BP1027+BG1028</f>
        <v>203610000</v>
      </c>
      <c r="BQ1028" s="561"/>
      <c r="BR1028" s="587">
        <f t="shared" si="5171"/>
        <v>266905694.06603605</v>
      </c>
      <c r="BS1028" s="587"/>
      <c r="BT1028" s="587"/>
      <c r="BU1028" s="587"/>
      <c r="BV1028" s="587"/>
      <c r="BW1028" s="500"/>
      <c r="BY1028" s="59">
        <f>+BP1028/CL1027</f>
        <v>0.61144144144144141</v>
      </c>
      <c r="CL1028" s="1"/>
    </row>
    <row r="1029" spans="42:90" x14ac:dyDescent="0.45">
      <c r="AR1029" s="500"/>
      <c r="AS1029" s="500"/>
      <c r="AT1029" s="500"/>
      <c r="AU1029" s="500"/>
      <c r="AV1029" s="500"/>
      <c r="AW1029" s="500"/>
      <c r="AX1029" s="500"/>
      <c r="AY1029" s="500"/>
      <c r="AZ1029" s="500"/>
      <c r="BA1029" s="500"/>
      <c r="BB1029" s="500"/>
      <c r="BC1029" s="500"/>
      <c r="BD1029" s="500"/>
      <c r="BE1029" s="500"/>
      <c r="BF1029" s="500"/>
      <c r="BG1029" s="500"/>
      <c r="BH1029" s="500"/>
      <c r="BI1029" s="500"/>
      <c r="BJ1029" s="500"/>
      <c r="BK1029" s="500"/>
      <c r="BL1029" s="500"/>
      <c r="BM1029" s="500"/>
      <c r="BN1029" s="500"/>
      <c r="BO1029" s="500"/>
      <c r="BP1029" s="500"/>
      <c r="BQ1029" s="500"/>
      <c r="BR1029" s="500"/>
      <c r="BS1029" s="500"/>
      <c r="BT1029" s="500"/>
      <c r="BU1029" s="500"/>
      <c r="BV1029" s="500"/>
      <c r="BW1029" s="500"/>
      <c r="CL1029" s="59">
        <f>+BR1028/CL1027</f>
        <v>0.80151860079890702</v>
      </c>
    </row>
    <row r="1031" spans="42:90" x14ac:dyDescent="0.45">
      <c r="BA1031" s="56">
        <f>+BR1027+BA1009</f>
        <v>247648687.35081083</v>
      </c>
      <c r="BC1031" s="59">
        <f>+BA1031/CL1027</f>
        <v>0.74368975180423669</v>
      </c>
      <c r="BE1031" s="56"/>
      <c r="BG1031" s="1">
        <v>202530000</v>
      </c>
      <c r="BP1031" s="1">
        <f>+(BP1028-BP1027)/2</f>
        <v>19425000</v>
      </c>
      <c r="CL1031" s="56">
        <f>+CL1027-BR1027</f>
        <v>113877723</v>
      </c>
    </row>
    <row r="1032" spans="42:90" x14ac:dyDescent="0.45">
      <c r="BG1032" s="56">
        <f>+BP1028-BG1031</f>
        <v>1080000</v>
      </c>
      <c r="BP1032" s="56">
        <v>1800000</v>
      </c>
    </row>
    <row r="1033" spans="42:90" ht="14.65" thickBot="1" x14ac:dyDescent="0.5">
      <c r="BP1033" s="578">
        <f>+BP1031-BP1032</f>
        <v>17625000</v>
      </c>
    </row>
    <row r="1034" spans="42:90" ht="14.65" thickTop="1" x14ac:dyDescent="0.45">
      <c r="CL1034" s="59">
        <f>+BP1027/CL1027</f>
        <v>0.49477477477477477</v>
      </c>
    </row>
    <row r="1036" spans="42:90" x14ac:dyDescent="0.45">
      <c r="BE1036" s="500"/>
      <c r="BF1036" s="500"/>
      <c r="BG1036" s="500"/>
      <c r="BH1036" s="500"/>
      <c r="BI1036" s="500"/>
      <c r="BJ1036" s="500"/>
      <c r="BK1036" s="500"/>
      <c r="BL1036" s="500"/>
      <c r="BM1036" s="500"/>
      <c r="BN1036" s="500"/>
      <c r="BO1036" s="500"/>
      <c r="BP1036" s="500"/>
      <c r="BQ1036" s="500"/>
      <c r="BR1036" s="500"/>
      <c r="BS1036" s="500"/>
      <c r="BT1036" s="500"/>
      <c r="BU1036" s="500"/>
      <c r="BV1036" s="500"/>
      <c r="BW1036" s="500"/>
      <c r="BX1036" s="500"/>
      <c r="BY1036" s="500"/>
    </row>
    <row r="1037" spans="42:90" x14ac:dyDescent="0.45">
      <c r="BE1037" s="500"/>
      <c r="BF1037" s="500"/>
      <c r="BG1037" s="500"/>
      <c r="BH1037" s="500"/>
      <c r="BI1037" s="500"/>
      <c r="BJ1037" s="500"/>
      <c r="BK1037" s="500"/>
      <c r="BL1037" s="500"/>
      <c r="BM1037" s="500"/>
      <c r="BN1037" s="500"/>
      <c r="BO1037" s="500"/>
      <c r="BP1037" s="500"/>
      <c r="BQ1037" s="500"/>
      <c r="BR1037" s="500"/>
      <c r="BS1037" s="500"/>
      <c r="BT1037" s="500"/>
      <c r="BU1037" s="500"/>
      <c r="BV1037" s="500"/>
      <c r="BW1037" s="500"/>
      <c r="BX1037" s="500"/>
      <c r="BY1037" s="500"/>
    </row>
    <row r="1038" spans="42:90" x14ac:dyDescent="0.45">
      <c r="AP1038" s="1">
        <v>1500000</v>
      </c>
      <c r="BE1038" s="500"/>
      <c r="BF1038" s="500"/>
      <c r="BG1038" s="500"/>
      <c r="BH1038" s="500"/>
      <c r="BI1038" s="500"/>
      <c r="BJ1038" s="500"/>
      <c r="BK1038" s="500"/>
      <c r="BL1038" s="500"/>
      <c r="BM1038" s="500"/>
      <c r="BN1038" s="500"/>
      <c r="BO1038" s="500"/>
      <c r="BP1038" s="500"/>
      <c r="BQ1038" s="500"/>
      <c r="BR1038" s="500"/>
      <c r="BS1038" s="500"/>
      <c r="BT1038" s="500"/>
      <c r="BU1038" s="500"/>
      <c r="BV1038" s="500"/>
      <c r="BW1038" s="500"/>
      <c r="BX1038" s="500"/>
      <c r="BY1038" s="500"/>
    </row>
    <row r="1039" spans="42:90" x14ac:dyDescent="0.45">
      <c r="AP1039">
        <v>7</v>
      </c>
      <c r="BE1039" s="500"/>
      <c r="BY1039" s="500"/>
      <c r="CL1039">
        <v>177090000</v>
      </c>
    </row>
    <row r="1040" spans="42:90" x14ac:dyDescent="0.45">
      <c r="AP1040" s="1">
        <f>+AP1038*AP1039</f>
        <v>10500000</v>
      </c>
      <c r="BE1040" s="500"/>
      <c r="BY1040" s="500"/>
      <c r="CL1040" s="231">
        <f>+CL1039/CL1027</f>
        <v>0.53180180180180181</v>
      </c>
    </row>
    <row r="1041" spans="57:90" x14ac:dyDescent="0.45">
      <c r="BE1041" s="500"/>
      <c r="BY1041" s="500"/>
    </row>
    <row r="1042" spans="57:90" x14ac:dyDescent="0.45">
      <c r="BE1042" s="500"/>
      <c r="BY1042" s="500"/>
    </row>
    <row r="1043" spans="57:90" x14ac:dyDescent="0.45">
      <c r="BE1043" s="500"/>
      <c r="BY1043" s="500"/>
      <c r="CL1043" s="56">
        <f>+BR1027+27420000</f>
        <v>246542277</v>
      </c>
    </row>
    <row r="1044" spans="57:90" x14ac:dyDescent="0.45">
      <c r="BE1044" s="500"/>
      <c r="BY1044" s="500"/>
    </row>
    <row r="1045" spans="57:90" x14ac:dyDescent="0.45">
      <c r="BE1045" s="500"/>
      <c r="BY1045" s="500"/>
      <c r="CL1045" s="59">
        <f>+CL1043/CL1027</f>
        <v>0.74036719819819818</v>
      </c>
    </row>
    <row r="1046" spans="57:90" x14ac:dyDescent="0.45">
      <c r="BE1046" s="500"/>
      <c r="BY1046" s="500"/>
    </row>
    <row r="1047" spans="57:90" x14ac:dyDescent="0.45">
      <c r="BE1047" s="500"/>
      <c r="BY1047" s="500"/>
    </row>
    <row r="1048" spans="57:90" x14ac:dyDescent="0.45">
      <c r="BE1048" s="500"/>
      <c r="BY1048" s="500"/>
    </row>
    <row r="1049" spans="57:90" x14ac:dyDescent="0.45">
      <c r="BE1049" s="500"/>
      <c r="BY1049" s="500"/>
    </row>
    <row r="1050" spans="57:90" x14ac:dyDescent="0.45">
      <c r="BE1050" s="500"/>
      <c r="BY1050" s="500"/>
    </row>
    <row r="1051" spans="57:90" x14ac:dyDescent="0.45">
      <c r="BE1051" s="500"/>
      <c r="BY1051" s="500"/>
    </row>
    <row r="1052" spans="57:90" x14ac:dyDescent="0.45">
      <c r="BE1052" s="500"/>
      <c r="BF1052" s="500"/>
      <c r="BG1052" s="500"/>
      <c r="BH1052" s="500"/>
      <c r="BI1052" s="500"/>
      <c r="BJ1052" s="500"/>
      <c r="BK1052" s="500"/>
      <c r="BL1052" s="500"/>
      <c r="BM1052" s="500"/>
      <c r="BN1052" s="500"/>
      <c r="BO1052" s="500"/>
      <c r="BP1052" s="500"/>
      <c r="BQ1052" s="500"/>
      <c r="BR1052" s="500"/>
      <c r="BS1052" s="500"/>
      <c r="BT1052" s="500"/>
      <c r="BU1052" s="500"/>
      <c r="BV1052" s="500"/>
      <c r="BW1052" s="500"/>
      <c r="BX1052" s="500"/>
      <c r="BY1052" s="500"/>
    </row>
    <row r="1053" spans="57:90" x14ac:dyDescent="0.45">
      <c r="BE1053" s="500"/>
      <c r="BF1053" s="500"/>
      <c r="BG1053" s="500"/>
      <c r="BH1053" s="500"/>
      <c r="BI1053" s="500"/>
      <c r="BJ1053" s="500"/>
      <c r="BK1053" s="500"/>
      <c r="BL1053" s="500"/>
      <c r="BM1053" s="500"/>
      <c r="BN1053" s="500"/>
      <c r="BO1053" s="500"/>
      <c r="BP1053" s="500"/>
      <c r="BQ1053" s="500"/>
      <c r="BR1053" s="500"/>
      <c r="BS1053" s="500"/>
      <c r="BT1053" s="500"/>
      <c r="BU1053" s="500"/>
      <c r="BV1053" s="500"/>
      <c r="BW1053" s="500"/>
      <c r="BX1053" s="500"/>
      <c r="BY1053" s="500"/>
    </row>
    <row r="1054" spans="57:90" x14ac:dyDescent="0.45">
      <c r="BE1054" s="500"/>
      <c r="BF1054" s="500"/>
      <c r="BG1054" s="500"/>
      <c r="BH1054" s="500"/>
      <c r="BI1054" s="500"/>
      <c r="BJ1054" s="500"/>
      <c r="BK1054" s="500"/>
      <c r="BL1054" s="500"/>
      <c r="BM1054" s="500"/>
      <c r="BN1054" s="500"/>
      <c r="BO1054" s="500"/>
      <c r="BP1054" s="500"/>
      <c r="BQ1054" s="500"/>
      <c r="BR1054" s="500"/>
      <c r="BS1054" s="500"/>
      <c r="BT1054" s="500"/>
      <c r="BU1054" s="500"/>
      <c r="BV1054" s="500"/>
      <c r="BW1054" s="500"/>
      <c r="BX1054" s="500"/>
      <c r="BY1054" s="500"/>
    </row>
    <row r="1055" spans="57:90" x14ac:dyDescent="0.45">
      <c r="BE1055" s="500"/>
      <c r="BF1055" s="500"/>
      <c r="BG1055" s="500"/>
      <c r="BH1055" s="500"/>
      <c r="BI1055" s="500"/>
      <c r="BJ1055" s="500"/>
      <c r="BK1055" s="500"/>
      <c r="BL1055" s="500"/>
      <c r="BM1055" s="500"/>
      <c r="BN1055" s="500"/>
      <c r="BO1055" s="500"/>
      <c r="BP1055" s="500"/>
      <c r="BQ1055" s="500"/>
      <c r="BR1055" s="500"/>
      <c r="BS1055" s="500"/>
      <c r="BT1055" s="500"/>
      <c r="BU1055" s="500"/>
      <c r="BV1055" s="500"/>
      <c r="BW1055" s="500"/>
      <c r="BX1055" s="500"/>
      <c r="BY1055" s="500"/>
    </row>
    <row r="1056" spans="57:90" x14ac:dyDescent="0.45">
      <c r="BE1056" s="500"/>
      <c r="BF1056" s="500"/>
      <c r="BG1056" s="500"/>
      <c r="BH1056" s="500"/>
      <c r="BI1056" s="500"/>
      <c r="BJ1056" s="500"/>
      <c r="BK1056" s="500"/>
      <c r="BL1056" s="500"/>
      <c r="BM1056" s="500"/>
      <c r="BN1056" s="500"/>
      <c r="BO1056" s="500"/>
      <c r="BP1056" s="500"/>
      <c r="BQ1056" s="500"/>
      <c r="BR1056" s="500"/>
      <c r="BS1056" s="500"/>
      <c r="BT1056" s="500"/>
      <c r="BU1056" s="500"/>
      <c r="BV1056" s="500"/>
      <c r="BW1056" s="500"/>
      <c r="BX1056" s="500"/>
      <c r="BY1056" s="500"/>
    </row>
    <row r="1057" spans="57:77" x14ac:dyDescent="0.45">
      <c r="BE1057" s="500"/>
      <c r="BF1057" s="500"/>
      <c r="BG1057" s="500"/>
      <c r="BH1057" s="500"/>
      <c r="BI1057" s="500"/>
      <c r="BJ1057" s="500"/>
      <c r="BK1057" s="500"/>
      <c r="BL1057" s="500"/>
      <c r="BM1057" s="500"/>
      <c r="BN1057" s="500"/>
      <c r="BO1057" s="500"/>
      <c r="BP1057" s="500"/>
      <c r="BQ1057" s="500"/>
      <c r="BR1057" s="500"/>
      <c r="BS1057" s="500"/>
      <c r="BT1057" s="500"/>
      <c r="BU1057" s="500"/>
      <c r="BV1057" s="500"/>
      <c r="BW1057" s="500"/>
      <c r="BX1057" s="500"/>
      <c r="BY1057" s="500"/>
    </row>
    <row r="1058" spans="57:77" x14ac:dyDescent="0.45">
      <c r="BE1058" s="500"/>
      <c r="BF1058" s="500"/>
      <c r="BG1058" s="500"/>
      <c r="BH1058" s="500"/>
      <c r="BI1058" s="500"/>
      <c r="BJ1058" s="500"/>
      <c r="BK1058" s="500"/>
      <c r="BL1058" s="500"/>
      <c r="BM1058" s="500"/>
      <c r="BN1058" s="500"/>
      <c r="BO1058" s="500"/>
      <c r="BP1058" s="500"/>
      <c r="BQ1058" s="500"/>
      <c r="BR1058" s="500"/>
      <c r="BS1058" s="500"/>
      <c r="BT1058" s="500"/>
      <c r="BU1058" s="500"/>
      <c r="BV1058" s="500"/>
      <c r="BW1058" s="500"/>
      <c r="BX1058" s="500"/>
      <c r="BY1058" s="500"/>
    </row>
    <row r="1059" spans="57:77" x14ac:dyDescent="0.45">
      <c r="BE1059" s="500"/>
      <c r="BF1059" s="500"/>
      <c r="BG1059" s="500"/>
      <c r="BH1059" s="500"/>
      <c r="BI1059" s="500"/>
      <c r="BJ1059" s="500"/>
      <c r="BK1059" s="500"/>
      <c r="BL1059" s="500"/>
      <c r="BM1059" s="500"/>
      <c r="BN1059" s="500"/>
      <c r="BO1059" s="500"/>
      <c r="BP1059" s="500"/>
      <c r="BQ1059" s="500"/>
      <c r="BR1059" s="500"/>
      <c r="BS1059" s="500"/>
      <c r="BT1059" s="500"/>
      <c r="BU1059" s="500"/>
      <c r="BV1059" s="500"/>
      <c r="BW1059" s="500"/>
      <c r="BX1059" s="500"/>
      <c r="BY1059" s="500"/>
    </row>
  </sheetData>
  <mergeCells count="60">
    <mergeCell ref="BR1028:BV1028"/>
    <mergeCell ref="AV992:AY992"/>
    <mergeCell ref="BE999:BE1000"/>
    <mergeCell ref="AV975:AX975"/>
    <mergeCell ref="BR1020:BV1021"/>
    <mergeCell ref="BR1022:BV1022"/>
    <mergeCell ref="AT1002:AX1002"/>
    <mergeCell ref="AT1006:AZ1006"/>
    <mergeCell ref="AT1000:AY1000"/>
    <mergeCell ref="AT1003:AZ1003"/>
    <mergeCell ref="AT1019:BV1019"/>
    <mergeCell ref="BG999:BG1000"/>
    <mergeCell ref="AT1001:AX1001"/>
    <mergeCell ref="BP1013:BT1013"/>
    <mergeCell ref="BI1027:BN1027"/>
    <mergeCell ref="BR1023:BV1023"/>
    <mergeCell ref="AK932:AN932"/>
    <mergeCell ref="AS998:BH998"/>
    <mergeCell ref="H960:J960"/>
    <mergeCell ref="AK937:AN937"/>
    <mergeCell ref="BI1028:BN1028"/>
    <mergeCell ref="AT1023:AX1023"/>
    <mergeCell ref="AT1024:AX1024"/>
    <mergeCell ref="AT1025:AZ1025"/>
    <mergeCell ref="BA1020:BE1020"/>
    <mergeCell ref="BG1020:BP1020"/>
    <mergeCell ref="BI1022:BN1022"/>
    <mergeCell ref="BI1021:BN1021"/>
    <mergeCell ref="AK928:AN928"/>
    <mergeCell ref="AK938:AN938"/>
    <mergeCell ref="AV987:AX98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927:AV927"/>
    <mergeCell ref="AK929:AN929"/>
    <mergeCell ref="AK930:AN930"/>
    <mergeCell ref="AK931:AN93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1024:BV1024"/>
    <mergeCell ref="BR1025:BV1025"/>
    <mergeCell ref="BR1027:BV1027"/>
    <mergeCell ref="BI1026:BN1026"/>
    <mergeCell ref="BR1026:BV1026"/>
    <mergeCell ref="BI1025:BN1025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933:AP935 AR933:AR9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27"/>
  <sheetViews>
    <sheetView topLeftCell="A392" workbookViewId="0">
      <selection activeCell="AF30" sqref="AF30"/>
    </sheetView>
  </sheetViews>
  <sheetFormatPr defaultRowHeight="14.25" outlineLevelRow="1" x14ac:dyDescent="0.45"/>
  <cols>
    <col min="1" max="2" width="2.06640625" customWidth="1"/>
    <col min="3" max="3" width="10.86328125" customWidth="1"/>
    <col min="4" max="4" width="2.796875" customWidth="1"/>
    <col min="5" max="5" width="11" bestFit="1" customWidth="1"/>
    <col min="6" max="6" width="2.06640625" customWidth="1"/>
    <col min="7" max="7" width="11" bestFit="1" customWidth="1"/>
    <col min="8" max="8" width="1.86328125" customWidth="1"/>
    <col min="9" max="9" width="10" bestFit="1" customWidth="1"/>
    <col min="10" max="10" width="1.86328125" customWidth="1"/>
    <col min="11" max="11" width="10.796875" customWidth="1"/>
    <col min="12" max="12" width="1.53125" customWidth="1"/>
    <col min="14" max="14" width="2.06640625" customWidth="1"/>
    <col min="15" max="15" width="3.33203125" customWidth="1"/>
    <col min="16" max="16" width="1" customWidth="1"/>
    <col min="17" max="17" width="9.19921875" customWidth="1"/>
    <col min="18" max="18" width="2.33203125" customWidth="1"/>
    <col min="20" max="20" width="2.46484375" customWidth="1"/>
    <col min="22" max="22" width="2.33203125" customWidth="1"/>
    <col min="23" max="23" width="5.6640625" customWidth="1"/>
    <col min="24" max="24" width="12.53125" customWidth="1"/>
    <col min="26" max="26" width="1.86328125" customWidth="1"/>
    <col min="27" max="27" width="2.53125" customWidth="1"/>
    <col min="28" max="28" width="7.6640625" customWidth="1"/>
    <col min="29" max="29" width="2.46484375" customWidth="1"/>
    <col min="30" max="30" width="12" customWidth="1"/>
    <col min="31" max="31" width="1.6640625" customWidth="1"/>
    <col min="32" max="32" width="11" customWidth="1"/>
    <col min="33" max="33" width="1.86328125" customWidth="1"/>
    <col min="35" max="35" width="1.53125" customWidth="1"/>
    <col min="37" max="37" width="1.86328125" customWidth="1"/>
    <col min="38" max="38" width="8.86328125" customWidth="1"/>
    <col min="40" max="40" width="8.86328125" customWidth="1"/>
    <col min="41" max="41" width="14.6640625" customWidth="1"/>
  </cols>
  <sheetData>
    <row r="1" spans="3:40" ht="15.75" x14ac:dyDescent="0.5">
      <c r="C1" s="153" t="s">
        <v>5</v>
      </c>
      <c r="D1" s="153"/>
      <c r="E1" s="153"/>
    </row>
    <row r="2" spans="3:40" ht="15.75" x14ac:dyDescent="0.5">
      <c r="C2" s="153" t="s">
        <v>6</v>
      </c>
      <c r="D2" s="153"/>
      <c r="E2" s="153"/>
    </row>
    <row r="3" spans="3:40" x14ac:dyDescent="0.45">
      <c r="C3" s="154" t="s">
        <v>13</v>
      </c>
      <c r="D3" s="154"/>
    </row>
    <row r="4" spans="3:40" x14ac:dyDescent="0.45">
      <c r="D4" s="154"/>
      <c r="E4" s="154"/>
    </row>
    <row r="5" spans="3:40" x14ac:dyDescent="0.45">
      <c r="C5" s="111" t="s">
        <v>38</v>
      </c>
      <c r="D5" s="112"/>
      <c r="E5" s="112" t="s">
        <v>40</v>
      </c>
    </row>
    <row r="6" spans="3:40" ht="14.65" thickBot="1" x14ac:dyDescent="0.5"/>
    <row r="7" spans="3:40" x14ac:dyDescent="0.45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45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45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45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45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4.65" thickBot="1" x14ac:dyDescent="0.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4.65" thickBot="1" x14ac:dyDescent="0.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4.65" thickBot="1" x14ac:dyDescent="0.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4.65" thickBot="1" x14ac:dyDescent="0.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45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+K915</f>
        <v>9540392</v>
      </c>
      <c r="AG16" s="187"/>
      <c r="AH16" s="201">
        <f>+AJ31</f>
        <v>29867.061951340602</v>
      </c>
      <c r="AI16" s="201"/>
      <c r="AJ16" s="202">
        <f>+S915</f>
        <v>116955</v>
      </c>
      <c r="AK16" s="203"/>
      <c r="AL16" s="98"/>
      <c r="AM16" s="98"/>
      <c r="AN16" s="98"/>
    </row>
    <row r="17" spans="3:41" x14ac:dyDescent="0.45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2005250</v>
      </c>
      <c r="AG17" s="188"/>
      <c r="AH17" s="149">
        <v>29093</v>
      </c>
      <c r="AI17" s="201"/>
      <c r="AJ17" s="148">
        <v>21390</v>
      </c>
      <c r="AK17" s="205"/>
      <c r="AL17" s="98"/>
      <c r="AM17" s="78"/>
      <c r="AN17" s="78"/>
    </row>
    <row r="18" spans="3:41" x14ac:dyDescent="0.45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3185902</v>
      </c>
      <c r="AG18" s="188"/>
      <c r="AH18" s="149">
        <v>24886</v>
      </c>
      <c r="AI18" s="201"/>
      <c r="AJ18" s="148">
        <v>46716</v>
      </c>
      <c r="AK18" s="205"/>
      <c r="AL18" s="98"/>
      <c r="AM18" s="78"/>
      <c r="AN18" s="78"/>
    </row>
    <row r="19" spans="3:41" ht="14.65" thickBot="1" x14ac:dyDescent="0.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14731544</v>
      </c>
      <c r="AG19" s="188"/>
      <c r="AH19" s="188"/>
      <c r="AI19" s="188"/>
      <c r="AJ19" s="206">
        <f>SUM(AJ16:AJ18)</f>
        <v>185061</v>
      </c>
      <c r="AK19" s="205"/>
      <c r="AL19" s="98"/>
      <c r="AM19" s="78"/>
      <c r="AN19" s="78"/>
    </row>
    <row r="20" spans="3:41" ht="14.65" thickTop="1" x14ac:dyDescent="0.45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4.65" thickBot="1" x14ac:dyDescent="0.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Table'!H915</f>
        <v>0.18288223427333558</v>
      </c>
      <c r="AG21" s="188"/>
      <c r="AH21" s="188"/>
      <c r="AI21" s="188"/>
      <c r="AJ21" s="208">
        <f>+AJ19/'Main Table'!AA915</f>
        <v>0.20181838406574712</v>
      </c>
      <c r="AK21" s="205"/>
      <c r="AL21" s="98"/>
      <c r="AM21" s="84"/>
      <c r="AN21" s="78"/>
    </row>
    <row r="22" spans="3:41" ht="15" thickTop="1" thickBot="1" x14ac:dyDescent="0.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45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4.65" thickBot="1" x14ac:dyDescent="0.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4.65" thickBot="1" x14ac:dyDescent="0.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45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45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+E915</f>
        <v>5988384</v>
      </c>
      <c r="AE27" s="155"/>
      <c r="AF27" s="186">
        <v>30783</v>
      </c>
      <c r="AG27" s="155"/>
      <c r="AH27" s="177">
        <f>+AD27/AD$31</f>
        <v>0.51867050788513969</v>
      </c>
      <c r="AI27" s="177"/>
      <c r="AJ27" s="155">
        <f>+AF27*AH27</f>
        <v>15966.234244228255</v>
      </c>
      <c r="AK27" s="178"/>
      <c r="AL27" s="106"/>
      <c r="AM27" s="78"/>
      <c r="AN27" s="78"/>
      <c r="AO27" s="106"/>
    </row>
    <row r="28" spans="3:41" x14ac:dyDescent="0.45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+G915</f>
        <v>2676932</v>
      </c>
      <c r="AE28" s="155"/>
      <c r="AF28" s="186">
        <v>30138</v>
      </c>
      <c r="AG28" s="155"/>
      <c r="AH28" s="177">
        <f>+AD28/AD$31</f>
        <v>0.23185648749545498</v>
      </c>
      <c r="AI28" s="177"/>
      <c r="AJ28" s="155">
        <f>+AF28*AH28</f>
        <v>6987.690820138022</v>
      </c>
      <c r="AK28" s="178"/>
      <c r="AL28" s="106"/>
      <c r="AM28" s="78"/>
      <c r="AN28" s="78"/>
      <c r="AO28" s="106"/>
    </row>
    <row r="29" spans="3:41" x14ac:dyDescent="0.45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+I915</f>
        <v>875076</v>
      </c>
      <c r="AE29" s="155"/>
      <c r="AF29" s="186">
        <v>24544</v>
      </c>
      <c r="AG29" s="155"/>
      <c r="AH29" s="177">
        <f>+AD29/AD$31</f>
        <v>7.5792753664109799E-2</v>
      </c>
      <c r="AI29" s="177"/>
      <c r="AJ29" s="155">
        <f>+AF29*AH29</f>
        <v>1860.257345931911</v>
      </c>
      <c r="AK29" s="178"/>
      <c r="AL29" s="106"/>
      <c r="AM29" s="78"/>
      <c r="AN29" s="78"/>
      <c r="AO29" s="106"/>
    </row>
    <row r="30" spans="3:41" x14ac:dyDescent="0.45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2005250</v>
      </c>
      <c r="AE30" s="237"/>
      <c r="AF30" s="155">
        <f>+AH17</f>
        <v>29093</v>
      </c>
      <c r="AG30" s="237"/>
      <c r="AH30" s="177">
        <f>+AD30/AD$31</f>
        <v>0.17368025095529552</v>
      </c>
      <c r="AI30" s="237"/>
      <c r="AJ30" s="155">
        <f>+AF30*AH30</f>
        <v>5052.8795410424127</v>
      </c>
      <c r="AK30" s="178"/>
      <c r="AL30" s="106"/>
      <c r="AM30" s="78"/>
      <c r="AN30" s="78"/>
      <c r="AO30" s="106"/>
    </row>
    <row r="31" spans="3:41" ht="14.65" thickBot="1" x14ac:dyDescent="0.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11545642</v>
      </c>
      <c r="AE31" s="155"/>
      <c r="AF31" s="155"/>
      <c r="AG31" s="155"/>
      <c r="AH31" s="180">
        <f>SUM(AH27:AH30)</f>
        <v>0.99999999999999989</v>
      </c>
      <c r="AI31" s="177"/>
      <c r="AJ31" s="179">
        <f>SUM(AJ27:AJ30)</f>
        <v>29867.061951340602</v>
      </c>
      <c r="AK31" s="178"/>
      <c r="AL31" s="106"/>
      <c r="AM31" s="78"/>
      <c r="AN31" s="78"/>
      <c r="AO31" s="106"/>
    </row>
    <row r="32" spans="3:41" ht="15" thickTop="1" thickBot="1" x14ac:dyDescent="0.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45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45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4.65" thickBot="1" x14ac:dyDescent="0.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4.65" thickBot="1" x14ac:dyDescent="0.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45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45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45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45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4.65" thickBot="1" x14ac:dyDescent="0.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4.65" thickTop="1" x14ac:dyDescent="0.45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4.65" thickBot="1" x14ac:dyDescent="0.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" thickTop="1" thickBot="1" x14ac:dyDescent="0.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45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45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45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45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45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Table'!AA915</f>
        <v>916968</v>
      </c>
      <c r="AJ49" s="56">
        <f>+AJ19</f>
        <v>185061</v>
      </c>
    </row>
    <row r="50" spans="3:36" x14ac:dyDescent="0.45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185061</v>
      </c>
      <c r="AF50" s="231"/>
    </row>
    <row r="51" spans="3:36" x14ac:dyDescent="0.45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731907</v>
      </c>
    </row>
    <row r="52" spans="3:36" x14ac:dyDescent="0.45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45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307400.94</v>
      </c>
    </row>
    <row r="54" spans="3:36" x14ac:dyDescent="0.45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45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424506.06</v>
      </c>
    </row>
    <row r="56" spans="3:36" x14ac:dyDescent="0.45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45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0.46294533724186665</v>
      </c>
    </row>
    <row r="58" spans="3:36" x14ac:dyDescent="0.45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45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45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45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45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45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45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45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45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45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45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45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45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45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45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45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45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45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45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45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45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45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45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45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45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45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45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45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45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45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45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45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45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45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45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45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45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45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45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45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45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45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45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45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45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45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45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45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45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45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45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45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45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45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45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45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45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45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45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45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45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45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45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45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45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45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45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45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45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45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45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45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45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45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45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45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45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45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45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45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45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45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45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45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45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45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45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45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45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45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45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45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45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45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45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45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45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45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45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45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45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45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45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45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45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45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45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45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45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45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45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45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45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45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45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45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45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45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45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45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45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45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45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45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45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45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45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45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45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45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45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45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45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45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45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45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45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45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45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45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45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45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45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45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45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45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45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45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45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45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45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45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45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45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45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45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45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45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45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45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45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45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45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45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45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45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45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45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45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45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45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45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45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45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45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45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45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45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45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45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45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45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45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45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45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45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45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45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45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45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45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45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45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45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45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45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45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45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45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45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45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45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45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45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45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45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45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45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45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45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45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45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45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45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45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45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45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45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45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45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45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45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45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45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45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45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45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45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45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45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45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45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45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45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45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45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45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45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45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45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45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45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45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45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45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45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45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45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45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45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45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45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45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45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45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45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45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45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45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45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45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45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45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45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45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45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45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45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45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45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45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45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45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45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45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45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45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45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45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45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45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45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45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45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45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45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45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45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45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45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45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45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45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45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45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45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45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45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45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45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45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45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45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45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45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45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45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45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45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45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45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45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45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45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45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45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45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45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45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45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45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45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45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45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45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45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45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45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45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45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45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45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45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45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45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45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45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45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45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45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45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45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45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45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45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45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45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45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45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45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45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45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45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45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45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45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45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45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45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45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45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45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45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45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45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45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45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45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45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45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45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45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45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45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45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45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45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45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45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45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45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45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45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45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45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45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45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45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45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45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45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45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45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45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45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45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45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45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45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45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45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45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45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45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45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45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45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45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45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45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45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45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45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45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45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45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45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45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45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45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45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45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45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45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45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45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45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45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45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45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45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45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45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45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45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45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45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45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45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45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45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45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45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45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45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45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45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45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45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45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45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45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45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45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45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45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45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45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45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45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45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45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45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45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45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45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45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45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45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45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45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45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45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45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45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45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45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45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45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45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45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45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45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45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45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45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45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45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45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45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45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45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45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45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45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45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45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45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45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45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45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45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45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45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45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45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45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45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45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45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45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45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45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45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45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45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45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45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45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45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45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45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45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45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45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45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45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45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45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45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45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45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45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45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45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45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45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45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45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45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45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45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45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45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45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45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45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45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45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45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45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45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45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45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45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45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45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45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45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45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45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45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45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45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45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45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45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45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45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45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45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45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45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45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45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45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45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45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45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45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45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45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45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45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45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45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45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45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45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45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45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45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45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45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45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45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45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45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45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45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45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45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45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45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45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45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45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45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45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45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45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45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45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45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45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45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45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45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45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45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45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45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45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45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45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45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45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45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45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45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45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45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45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45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45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45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45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45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45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45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45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45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45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45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45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45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45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45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45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45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45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45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45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45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45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45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45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45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45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45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45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45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45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45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45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45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45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45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45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45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45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45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45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45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45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45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45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45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45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45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45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45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45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45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45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45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45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45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45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45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45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45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45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45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45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45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45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45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45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45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45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45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45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45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45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45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45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45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45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45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45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45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45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45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45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45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45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45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45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45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45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45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45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45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45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45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45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45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45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45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45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45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45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45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45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45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45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45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45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909" si="467">+W795+1</f>
        <v>786</v>
      </c>
      <c r="Y796" s="56"/>
    </row>
    <row r="797" spans="3:25" x14ac:dyDescent="0.45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45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45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45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45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45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45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45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45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45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45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45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45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45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45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45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45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45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45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45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45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45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45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45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45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45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45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45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45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45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45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45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45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45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45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45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45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45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45">
      <c r="C835" s="158">
        <f t="shared" ref="C835:C913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45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45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45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45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45">
      <c r="C840" s="158">
        <f t="shared" si="579"/>
        <v>44739</v>
      </c>
      <c r="E840" s="241">
        <v>5594030</v>
      </c>
      <c r="F840" s="7"/>
      <c r="G840" s="7">
        <v>2478067</v>
      </c>
      <c r="H840" s="581"/>
      <c r="I840" s="7">
        <v>825075</v>
      </c>
      <c r="J840" s="244"/>
      <c r="K840" s="7">
        <f t="shared" ref="K840" si="595">SUM(E840:I840)</f>
        <v>8897172</v>
      </c>
      <c r="L840" s="6"/>
      <c r="M840" s="438">
        <f t="shared" ref="M840" si="596">+(K840-K839)/K839</f>
        <v>1.3705128702942433E-3</v>
      </c>
      <c r="N840" s="29"/>
      <c r="O840" s="29"/>
      <c r="P840" s="29"/>
      <c r="Q840" s="332">
        <f t="shared" ref="Q840" si="597">+K840-K839</f>
        <v>12177</v>
      </c>
      <c r="R840" s="6"/>
      <c r="S840" s="7">
        <f>69576+34007+11034</f>
        <v>114617</v>
      </c>
      <c r="T840" s="6"/>
      <c r="U840" s="243">
        <v>2.402125115017657E-2</v>
      </c>
      <c r="W840">
        <f t="shared" si="467"/>
        <v>830</v>
      </c>
      <c r="Y840" s="56"/>
    </row>
    <row r="841" spans="3:25" x14ac:dyDescent="0.45">
      <c r="C841" s="158">
        <f t="shared" si="579"/>
        <v>44740</v>
      </c>
      <c r="E841" s="241">
        <v>5596149</v>
      </c>
      <c r="F841" s="7"/>
      <c r="G841" s="7">
        <v>2481696</v>
      </c>
      <c r="H841" s="581"/>
      <c r="I841" s="7">
        <v>825075</v>
      </c>
      <c r="J841" s="244"/>
      <c r="K841" s="7">
        <f t="shared" ref="K841" si="598">SUM(E841:I841)</f>
        <v>8902920</v>
      </c>
      <c r="L841" s="6"/>
      <c r="M841" s="438">
        <f t="shared" ref="M841" si="599">+(K841-K840)/K840</f>
        <v>6.460479801896603E-4</v>
      </c>
      <c r="N841" s="29"/>
      <c r="O841" s="29"/>
      <c r="P841" s="29"/>
      <c r="Q841" s="332">
        <f t="shared" ref="Q841" si="600">+K841-K840</f>
        <v>5748</v>
      </c>
      <c r="R841" s="6"/>
      <c r="S841" s="7">
        <f>69621+34023+11034</f>
        <v>114678</v>
      </c>
      <c r="T841" s="6"/>
      <c r="U841" s="243">
        <v>2.402125115017657E-2</v>
      </c>
      <c r="W841">
        <f t="shared" si="467"/>
        <v>831</v>
      </c>
      <c r="Y841" s="56"/>
    </row>
    <row r="842" spans="3:25" x14ac:dyDescent="0.45">
      <c r="C842" s="158">
        <f t="shared" si="579"/>
        <v>44741</v>
      </c>
      <c r="E842" s="241">
        <v>5603772</v>
      </c>
      <c r="F842" s="7"/>
      <c r="G842" s="7">
        <v>2484840</v>
      </c>
      <c r="H842" s="581"/>
      <c r="I842" s="7">
        <v>825075</v>
      </c>
      <c r="J842" s="244"/>
      <c r="K842" s="7">
        <f t="shared" ref="K842" si="601">SUM(E842:I842)</f>
        <v>8913687</v>
      </c>
      <c r="L842" s="6"/>
      <c r="M842" s="438">
        <f t="shared" ref="M842" si="602">+(K842-K841)/K841</f>
        <v>1.2093784960439946E-3</v>
      </c>
      <c r="N842" s="29"/>
      <c r="O842" s="29"/>
      <c r="P842" s="29"/>
      <c r="Q842" s="332">
        <f t="shared" ref="Q842" si="603">+K842-K841</f>
        <v>10767</v>
      </c>
      <c r="R842" s="6"/>
      <c r="S842" s="7">
        <f>69645+34036+11034</f>
        <v>114715</v>
      </c>
      <c r="T842" s="6"/>
      <c r="U842" s="243">
        <v>2.402125115017657E-2</v>
      </c>
      <c r="W842">
        <f t="shared" si="467"/>
        <v>832</v>
      </c>
      <c r="Y842" s="56"/>
    </row>
    <row r="843" spans="3:25" x14ac:dyDescent="0.45">
      <c r="C843" s="158">
        <f t="shared" si="579"/>
        <v>44742</v>
      </c>
      <c r="E843" s="241">
        <v>5611093</v>
      </c>
      <c r="F843" s="7"/>
      <c r="G843" s="7">
        <v>2488751</v>
      </c>
      <c r="H843" s="581"/>
      <c r="I843" s="7">
        <v>825075</v>
      </c>
      <c r="J843" s="244"/>
      <c r="K843" s="7">
        <f t="shared" ref="K843" si="604">SUM(E843:I843)</f>
        <v>8924919</v>
      </c>
      <c r="L843" s="6"/>
      <c r="M843" s="438">
        <f t="shared" ref="M843" si="605">+(K843-K842)/K842</f>
        <v>1.2600846316456926E-3</v>
      </c>
      <c r="N843" s="29"/>
      <c r="O843" s="29"/>
      <c r="P843" s="29"/>
      <c r="Q843" s="332">
        <f t="shared" ref="Q843" si="606">+K843-K842</f>
        <v>11232</v>
      </c>
      <c r="R843" s="6"/>
      <c r="S843" s="7">
        <f>69645+34036+11034</f>
        <v>114715</v>
      </c>
      <c r="T843" s="6"/>
      <c r="U843" s="243">
        <v>2.402125115017657E-2</v>
      </c>
      <c r="W843">
        <f t="shared" si="467"/>
        <v>833</v>
      </c>
      <c r="Y843" s="56"/>
    </row>
    <row r="844" spans="3:25" x14ac:dyDescent="0.45">
      <c r="C844" s="158">
        <f t="shared" si="579"/>
        <v>44743</v>
      </c>
      <c r="E844" s="241">
        <v>5614976</v>
      </c>
      <c r="F844" s="7"/>
      <c r="G844" s="7">
        <v>2492366</v>
      </c>
      <c r="H844" s="581"/>
      <c r="I844" s="7">
        <v>831880</v>
      </c>
      <c r="J844" s="244"/>
      <c r="K844" s="7">
        <f t="shared" ref="K844" si="607">SUM(E844:I844)</f>
        <v>8939222</v>
      </c>
      <c r="L844" s="6"/>
      <c r="M844" s="438">
        <f t="shared" ref="M844" si="608">+(K844-K843)/K843</f>
        <v>1.6025915753409079E-3</v>
      </c>
      <c r="N844" s="29"/>
      <c r="O844" s="29"/>
      <c r="P844" s="29"/>
      <c r="Q844" s="332">
        <f t="shared" ref="Q844" si="609">+K844-K843</f>
        <v>14303</v>
      </c>
      <c r="R844" s="6"/>
      <c r="S844" s="7">
        <f>69690+34057+11045</f>
        <v>114792</v>
      </c>
      <c r="T844" s="6"/>
      <c r="U844" s="243">
        <v>2.402125115017657E-2</v>
      </c>
      <c r="W844">
        <f t="shared" si="467"/>
        <v>834</v>
      </c>
      <c r="Y844" s="56"/>
    </row>
    <row r="845" spans="3:25" x14ac:dyDescent="0.45">
      <c r="C845" s="158">
        <f t="shared" si="579"/>
        <v>44744</v>
      </c>
      <c r="E845" s="241">
        <v>5622208</v>
      </c>
      <c r="F845" s="7"/>
      <c r="G845" s="7">
        <v>2495905</v>
      </c>
      <c r="H845" s="581"/>
      <c r="I845" s="7">
        <v>832572</v>
      </c>
      <c r="J845" s="244"/>
      <c r="K845" s="7">
        <f t="shared" ref="K845" si="610">SUM(E845:I845)</f>
        <v>8950685</v>
      </c>
      <c r="L845" s="6"/>
      <c r="M845" s="438">
        <f t="shared" ref="M845" si="611">+(K845-K844)/K844</f>
        <v>1.282326359050038E-3</v>
      </c>
      <c r="N845" s="29"/>
      <c r="O845" s="29"/>
      <c r="P845" s="29"/>
      <c r="Q845" s="332">
        <f t="shared" ref="Q845" si="612">+K845-K844</f>
        <v>11463</v>
      </c>
      <c r="R845" s="6"/>
      <c r="S845" s="7">
        <f>69698+34064+11045</f>
        <v>114807</v>
      </c>
      <c r="T845" s="6"/>
      <c r="U845" s="243">
        <v>2.402125115017657E-2</v>
      </c>
      <c r="W845">
        <f t="shared" si="467"/>
        <v>835</v>
      </c>
      <c r="Y845" s="56"/>
    </row>
    <row r="846" spans="3:25" x14ac:dyDescent="0.45">
      <c r="C846" s="347">
        <f t="shared" si="579"/>
        <v>44745</v>
      </c>
      <c r="E846" s="241">
        <v>5625004</v>
      </c>
      <c r="F846" s="7"/>
      <c r="G846" s="7">
        <v>2495905</v>
      </c>
      <c r="H846" s="581"/>
      <c r="I846" s="7">
        <v>832913</v>
      </c>
      <c r="J846" s="244"/>
      <c r="K846" s="7">
        <f t="shared" ref="K846" si="613">SUM(E846:I846)</f>
        <v>8953822</v>
      </c>
      <c r="L846" s="6"/>
      <c r="M846" s="438">
        <f t="shared" ref="M846" si="614">+(K846-K845)/K845</f>
        <v>3.504759691576678E-4</v>
      </c>
      <c r="N846" s="29"/>
      <c r="O846" s="29"/>
      <c r="P846" s="29"/>
      <c r="Q846" s="332">
        <f t="shared" ref="Q846" si="615">+K846-K845</f>
        <v>3137</v>
      </c>
      <c r="R846" s="6"/>
      <c r="S846" s="7">
        <f>69698+34064+11045</f>
        <v>114807</v>
      </c>
      <c r="T846" s="6"/>
      <c r="U846" s="243">
        <v>2.402125115017657E-2</v>
      </c>
      <c r="W846">
        <f t="shared" si="467"/>
        <v>836</v>
      </c>
      <c r="Y846" s="56"/>
    </row>
    <row r="847" spans="3:25" x14ac:dyDescent="0.45">
      <c r="C847" s="158">
        <f t="shared" si="579"/>
        <v>44746</v>
      </c>
      <c r="E847" s="241">
        <v>5627346</v>
      </c>
      <c r="F847" s="7"/>
      <c r="G847" s="7">
        <v>2500418</v>
      </c>
      <c r="H847" s="581"/>
      <c r="I847" s="7">
        <v>833260</v>
      </c>
      <c r="J847" s="244"/>
      <c r="K847" s="7">
        <f t="shared" ref="K847" si="616">SUM(E847:I847)</f>
        <v>8961024</v>
      </c>
      <c r="L847" s="6"/>
      <c r="M847" s="438">
        <f t="shared" ref="M847" si="617">+(K847-K846)/K846</f>
        <v>8.0434924884591186E-4</v>
      </c>
      <c r="N847" s="29"/>
      <c r="O847" s="29"/>
      <c r="P847" s="29"/>
      <c r="Q847" s="332">
        <f t="shared" ref="Q847" si="618">+K847-K846</f>
        <v>7202</v>
      </c>
      <c r="R847" s="6"/>
      <c r="S847" s="7">
        <f>69698+34064+11045</f>
        <v>114807</v>
      </c>
      <c r="T847" s="6"/>
      <c r="U847" s="243">
        <v>2.402125115017657E-2</v>
      </c>
      <c r="W847">
        <f t="shared" si="467"/>
        <v>837</v>
      </c>
      <c r="Y847" s="56"/>
    </row>
    <row r="848" spans="3:25" x14ac:dyDescent="0.45">
      <c r="C848" s="158">
        <f t="shared" si="579"/>
        <v>44747</v>
      </c>
      <c r="E848" s="241">
        <v>5639141</v>
      </c>
      <c r="F848" s="7"/>
      <c r="G848" s="7">
        <v>2502617</v>
      </c>
      <c r="H848" s="581"/>
      <c r="I848" s="7">
        <v>833551</v>
      </c>
      <c r="J848" s="244"/>
      <c r="K848" s="7">
        <f t="shared" ref="K848" si="619">SUM(E848:I848)</f>
        <v>8975309</v>
      </c>
      <c r="L848" s="6"/>
      <c r="M848" s="438">
        <f t="shared" ref="M848" si="620">+(K848-K847)/K847</f>
        <v>1.5941258499028682E-3</v>
      </c>
      <c r="N848" s="29"/>
      <c r="O848" s="29"/>
      <c r="P848" s="29"/>
      <c r="Q848" s="332">
        <f t="shared" ref="Q848" si="621">+K848-K847</f>
        <v>14285</v>
      </c>
      <c r="R848" s="6"/>
      <c r="S848" s="7">
        <f>69715+34066+11045</f>
        <v>114826</v>
      </c>
      <c r="T848" s="6"/>
      <c r="U848" s="243">
        <v>2.402125115017657E-2</v>
      </c>
      <c r="W848">
        <f t="shared" si="467"/>
        <v>838</v>
      </c>
      <c r="Y848" s="56"/>
    </row>
    <row r="849" spans="3:25" x14ac:dyDescent="0.45">
      <c r="C849" s="158">
        <f t="shared" si="579"/>
        <v>44748</v>
      </c>
      <c r="E849" s="241">
        <v>5640000</v>
      </c>
      <c r="F849" s="579" t="s">
        <v>26</v>
      </c>
      <c r="G849" s="7">
        <v>2504000</v>
      </c>
      <c r="H849" s="581"/>
      <c r="I849" s="7">
        <v>834000</v>
      </c>
      <c r="J849" s="244"/>
      <c r="K849" s="7">
        <f t="shared" ref="K849" si="622">SUM(E849:I849)</f>
        <v>8978000</v>
      </c>
      <c r="L849" s="6"/>
      <c r="M849" s="438">
        <f t="shared" ref="M849" si="623">+(K849-K848)/K848</f>
        <v>2.9982254649951328E-4</v>
      </c>
      <c r="N849" s="29"/>
      <c r="O849" s="29"/>
      <c r="P849" s="29"/>
      <c r="Q849" s="332">
        <f t="shared" ref="Q849" si="624">+K849-K848</f>
        <v>2691</v>
      </c>
      <c r="R849" s="6"/>
      <c r="S849" s="7">
        <f>69715+34066+11045</f>
        <v>114826</v>
      </c>
      <c r="T849" s="6"/>
      <c r="U849" s="243">
        <v>2.402125115017657E-2</v>
      </c>
      <c r="W849">
        <f t="shared" si="467"/>
        <v>839</v>
      </c>
      <c r="Y849" s="56"/>
    </row>
    <row r="850" spans="3:25" x14ac:dyDescent="0.45">
      <c r="C850" s="158">
        <f t="shared" si="579"/>
        <v>44749</v>
      </c>
      <c r="E850" s="241">
        <v>5646017</v>
      </c>
      <c r="F850" s="7"/>
      <c r="G850" s="7">
        <v>2509617</v>
      </c>
      <c r="H850" s="581"/>
      <c r="I850" s="7">
        <v>835385</v>
      </c>
      <c r="J850" s="244"/>
      <c r="K850" s="7">
        <f t="shared" ref="K850" si="625">SUM(E850:I850)</f>
        <v>8991019</v>
      </c>
      <c r="L850" s="6"/>
      <c r="M850" s="438">
        <f t="shared" ref="M850" si="626">+(K850-K849)/K849</f>
        <v>1.4501002450434395E-3</v>
      </c>
      <c r="N850" s="29"/>
      <c r="O850" s="29"/>
      <c r="P850" s="29"/>
      <c r="Q850" s="332">
        <f t="shared" ref="Q850" si="627">+K850-K849</f>
        <v>13019</v>
      </c>
      <c r="R850" s="6"/>
      <c r="S850" s="7">
        <f>69785+34091+11055</f>
        <v>114931</v>
      </c>
      <c r="T850" s="6"/>
      <c r="U850" s="243">
        <v>2.402125115017657E-2</v>
      </c>
      <c r="W850">
        <f t="shared" si="467"/>
        <v>840</v>
      </c>
      <c r="Y850" s="56"/>
    </row>
    <row r="851" spans="3:25" x14ac:dyDescent="0.45">
      <c r="C851" s="158">
        <f t="shared" si="579"/>
        <v>44750</v>
      </c>
      <c r="E851" s="241">
        <v>5661360</v>
      </c>
      <c r="F851" s="7"/>
      <c r="G851" s="7">
        <v>2514115</v>
      </c>
      <c r="H851" s="581"/>
      <c r="I851" s="7">
        <v>836466</v>
      </c>
      <c r="J851" s="244"/>
      <c r="K851" s="7">
        <f t="shared" ref="K851" si="628">SUM(E851:I851)</f>
        <v>9011941</v>
      </c>
      <c r="L851" s="6"/>
      <c r="M851" s="438">
        <f t="shared" ref="M851" si="629">+(K851-K850)/K850</f>
        <v>2.326988742877754E-3</v>
      </c>
      <c r="N851" s="29"/>
      <c r="O851" s="29"/>
      <c r="P851" s="29"/>
      <c r="Q851" s="332">
        <f t="shared" ref="Q851" si="630">+K851-K850</f>
        <v>20922</v>
      </c>
      <c r="R851" s="6"/>
      <c r="S851" s="7">
        <f>69799+34099+11055</f>
        <v>114953</v>
      </c>
      <c r="T851" s="6"/>
      <c r="U851" s="243">
        <v>2.402125115017657E-2</v>
      </c>
      <c r="W851">
        <f t="shared" si="467"/>
        <v>841</v>
      </c>
      <c r="Y851" s="56"/>
    </row>
    <row r="852" spans="3:25" x14ac:dyDescent="0.45">
      <c r="C852" s="158">
        <f t="shared" si="579"/>
        <v>44751</v>
      </c>
      <c r="E852" s="241">
        <v>5665385</v>
      </c>
      <c r="F852" s="7"/>
      <c r="G852" s="7">
        <v>2517834</v>
      </c>
      <c r="H852" s="581"/>
      <c r="I852" s="7">
        <v>837269</v>
      </c>
      <c r="J852" s="244"/>
      <c r="K852" s="7">
        <f t="shared" ref="K852" si="631">SUM(E852:I852)</f>
        <v>9020488</v>
      </c>
      <c r="L852" s="6"/>
      <c r="M852" s="438">
        <f t="shared" ref="M852" si="632">+(K852-K851)/K851</f>
        <v>9.4840833955748269E-4</v>
      </c>
      <c r="N852" s="29"/>
      <c r="O852" s="29"/>
      <c r="P852" s="29"/>
      <c r="Q852" s="332">
        <f t="shared" ref="Q852" si="633">+K852-K851</f>
        <v>8547</v>
      </c>
      <c r="R852" s="6"/>
      <c r="S852" s="7">
        <f>69799+34107+11055</f>
        <v>114961</v>
      </c>
      <c r="T852" s="6"/>
      <c r="U852" s="243">
        <v>2.402125115017657E-2</v>
      </c>
      <c r="W852">
        <f t="shared" si="467"/>
        <v>842</v>
      </c>
      <c r="Y852" s="56"/>
    </row>
    <row r="853" spans="3:25" x14ac:dyDescent="0.45">
      <c r="C853" s="347">
        <f t="shared" si="579"/>
        <v>44752</v>
      </c>
      <c r="E853" s="241">
        <v>5668645</v>
      </c>
      <c r="F853" s="7"/>
      <c r="G853" s="7">
        <v>2520736</v>
      </c>
      <c r="H853" s="581"/>
      <c r="I853" s="7">
        <v>837751</v>
      </c>
      <c r="J853" s="244"/>
      <c r="K853" s="7">
        <f t="shared" ref="K853" si="634">SUM(E853:I853)</f>
        <v>9027132</v>
      </c>
      <c r="L853" s="6"/>
      <c r="M853" s="438">
        <f t="shared" ref="M853" si="635">+(K853-K852)/K852</f>
        <v>7.3654551727134936E-4</v>
      </c>
      <c r="N853" s="29"/>
      <c r="O853" s="29"/>
      <c r="P853" s="29"/>
      <c r="Q853" s="332">
        <f t="shared" ref="Q853" si="636">+K853-K852</f>
        <v>6644</v>
      </c>
      <c r="R853" s="6"/>
      <c r="S853" s="7">
        <f>69799+34109+11055</f>
        <v>114963</v>
      </c>
      <c r="T853" s="6"/>
      <c r="U853" s="243">
        <v>2.402125115017657E-2</v>
      </c>
      <c r="W853">
        <f t="shared" si="467"/>
        <v>843</v>
      </c>
      <c r="Y853" s="56"/>
    </row>
    <row r="854" spans="3:25" x14ac:dyDescent="0.45">
      <c r="C854" s="158">
        <f t="shared" si="579"/>
        <v>44753</v>
      </c>
      <c r="E854" s="241">
        <v>5679453</v>
      </c>
      <c r="F854" s="7"/>
      <c r="G854" s="7">
        <v>2522649</v>
      </c>
      <c r="H854" s="581"/>
      <c r="I854" s="7">
        <v>838159</v>
      </c>
      <c r="J854" s="244"/>
      <c r="K854" s="7">
        <f t="shared" ref="K854" si="637">SUM(E854:I854)</f>
        <v>9040261</v>
      </c>
      <c r="L854" s="6"/>
      <c r="M854" s="438">
        <f t="shared" ref="M854" si="638">+(K854-K853)/K853</f>
        <v>1.4543932668759025E-3</v>
      </c>
      <c r="N854" s="29"/>
      <c r="O854" s="29"/>
      <c r="P854" s="29"/>
      <c r="Q854" s="332">
        <f t="shared" ref="Q854" si="639">+K854-K853</f>
        <v>13129</v>
      </c>
      <c r="R854" s="6"/>
      <c r="S854" s="7">
        <f>69823+34112+11055</f>
        <v>114990</v>
      </c>
      <c r="T854" s="6"/>
      <c r="U854" s="243">
        <v>2.402125115017657E-2</v>
      </c>
      <c r="W854">
        <f t="shared" si="467"/>
        <v>844</v>
      </c>
      <c r="Y854" s="56"/>
    </row>
    <row r="855" spans="3:25" x14ac:dyDescent="0.45">
      <c r="C855" s="158">
        <f t="shared" si="579"/>
        <v>44754</v>
      </c>
      <c r="E855" s="241">
        <v>5689878</v>
      </c>
      <c r="F855" s="7"/>
      <c r="G855" s="7">
        <v>2527086</v>
      </c>
      <c r="H855" s="581"/>
      <c r="I855" s="7">
        <v>839167</v>
      </c>
      <c r="J855" s="244"/>
      <c r="K855" s="7">
        <f t="shared" ref="K855" si="640">SUM(E855:I855)</f>
        <v>9056131</v>
      </c>
      <c r="L855" s="6"/>
      <c r="M855" s="438">
        <f t="shared" ref="M855" si="641">+(K855-K854)/K854</f>
        <v>1.7554802897836689E-3</v>
      </c>
      <c r="N855" s="29"/>
      <c r="O855" s="29"/>
      <c r="P855" s="29"/>
      <c r="Q855" s="332">
        <f t="shared" ref="Q855" si="642">+K855-K854</f>
        <v>15870</v>
      </c>
      <c r="R855" s="6"/>
      <c r="S855" s="7">
        <f>69868+34126+11078</f>
        <v>115072</v>
      </c>
      <c r="T855" s="6"/>
      <c r="U855" s="243">
        <v>2.402125115017657E-2</v>
      </c>
      <c r="W855">
        <f t="shared" si="467"/>
        <v>845</v>
      </c>
      <c r="Y855" s="56"/>
    </row>
    <row r="856" spans="3:25" x14ac:dyDescent="0.45">
      <c r="C856" s="158">
        <f t="shared" si="579"/>
        <v>44755</v>
      </c>
      <c r="E856" s="241">
        <v>5696031</v>
      </c>
      <c r="F856" s="7"/>
      <c r="G856" s="7">
        <v>2530796</v>
      </c>
      <c r="H856" s="581"/>
      <c r="I856" s="7">
        <v>840071</v>
      </c>
      <c r="J856" s="244"/>
      <c r="K856" s="7">
        <f t="shared" ref="K856" si="643">SUM(E856:I856)</f>
        <v>9066898</v>
      </c>
      <c r="L856" s="6"/>
      <c r="M856" s="438">
        <f t="shared" ref="M856" si="644">+(K856-K855)/K855</f>
        <v>1.1889183140129046E-3</v>
      </c>
      <c r="N856" s="29"/>
      <c r="O856" s="29"/>
      <c r="P856" s="29"/>
      <c r="Q856" s="332">
        <f t="shared" ref="Q856" si="645">+K856-K855</f>
        <v>10767</v>
      </c>
      <c r="R856" s="6"/>
      <c r="S856" s="7">
        <f>69889+34133+11083</f>
        <v>115105</v>
      </c>
      <c r="T856" s="6"/>
      <c r="U856" s="243">
        <v>2.402125115017657E-2</v>
      </c>
      <c r="W856">
        <f t="shared" si="467"/>
        <v>846</v>
      </c>
      <c r="Y856" s="56"/>
    </row>
    <row r="857" spans="3:25" x14ac:dyDescent="0.45">
      <c r="C857" s="158">
        <f t="shared" si="579"/>
        <v>44756</v>
      </c>
      <c r="E857" s="241">
        <v>5710064</v>
      </c>
      <c r="F857" s="7"/>
      <c r="G857" s="7">
        <v>2539038</v>
      </c>
      <c r="H857" s="581"/>
      <c r="I857" s="7">
        <v>840892</v>
      </c>
      <c r="J857" s="244"/>
      <c r="K857" s="7">
        <f t="shared" ref="K857" si="646">SUM(E857:I857)</f>
        <v>9089994</v>
      </c>
      <c r="L857" s="6"/>
      <c r="M857" s="438">
        <f t="shared" ref="M857" si="647">+(K857-K856)/K856</f>
        <v>2.5472879478736828E-3</v>
      </c>
      <c r="N857" s="29"/>
      <c r="O857" s="29"/>
      <c r="P857" s="29"/>
      <c r="Q857" s="332">
        <f t="shared" ref="Q857" si="648">+K857-K856</f>
        <v>23096</v>
      </c>
      <c r="R857" s="6"/>
      <c r="S857" s="7">
        <f>69921+34152+11085</f>
        <v>115158</v>
      </c>
      <c r="T857" s="6"/>
      <c r="U857" s="243">
        <v>2.402125115017657E-2</v>
      </c>
      <c r="W857">
        <f t="shared" si="467"/>
        <v>847</v>
      </c>
      <c r="Y857" s="56"/>
    </row>
    <row r="858" spans="3:25" x14ac:dyDescent="0.45">
      <c r="C858" s="158">
        <f t="shared" si="579"/>
        <v>44757</v>
      </c>
      <c r="E858" s="241">
        <v>5710185</v>
      </c>
      <c r="F858" s="7"/>
      <c r="G858" s="7">
        <v>2539038</v>
      </c>
      <c r="H858" s="581"/>
      <c r="I858" s="7">
        <v>841737</v>
      </c>
      <c r="J858" s="244"/>
      <c r="K858" s="7">
        <f t="shared" ref="K858" si="649">SUM(E858:I858)</f>
        <v>9090960</v>
      </c>
      <c r="L858" s="6"/>
      <c r="M858" s="438">
        <f t="shared" ref="M858" si="650">+(K858-K857)/K857</f>
        <v>1.0627069720838099E-4</v>
      </c>
      <c r="N858" s="29"/>
      <c r="O858" s="29"/>
      <c r="P858" s="29"/>
      <c r="Q858" s="332">
        <f t="shared" ref="Q858" si="651">+K858-K857</f>
        <v>966</v>
      </c>
      <c r="R858" s="6"/>
      <c r="S858" s="7">
        <f>69934+34152+11085</f>
        <v>115171</v>
      </c>
      <c r="T858" s="6"/>
      <c r="U858" s="243">
        <v>2.402125115017657E-2</v>
      </c>
      <c r="W858">
        <f t="shared" si="467"/>
        <v>848</v>
      </c>
      <c r="Y858" s="56"/>
    </row>
    <row r="859" spans="3:25" x14ac:dyDescent="0.45">
      <c r="C859" s="158">
        <f t="shared" si="579"/>
        <v>44758</v>
      </c>
      <c r="E859" s="241">
        <v>5718145</v>
      </c>
      <c r="F859" s="7"/>
      <c r="G859" s="7">
        <v>2542826</v>
      </c>
      <c r="H859" s="581"/>
      <c r="I859" s="7">
        <v>842567</v>
      </c>
      <c r="J859" s="244"/>
      <c r="K859" s="7">
        <f t="shared" ref="K859" si="652">SUM(E859:I859)</f>
        <v>9103538</v>
      </c>
      <c r="L859" s="6"/>
      <c r="M859" s="438">
        <f t="shared" ref="M859" si="653">+(K859-K858)/K858</f>
        <v>1.3835722519953888E-3</v>
      </c>
      <c r="N859" s="29"/>
      <c r="O859" s="29"/>
      <c r="P859" s="29"/>
      <c r="Q859" s="332">
        <f t="shared" ref="Q859" si="654">+K859-K858</f>
        <v>12578</v>
      </c>
      <c r="R859" s="6"/>
      <c r="S859" s="7">
        <f>69934+34159+11085</f>
        <v>115178</v>
      </c>
      <c r="T859" s="6"/>
      <c r="U859" s="243">
        <v>2.402125115017657E-2</v>
      </c>
      <c r="W859">
        <f t="shared" si="467"/>
        <v>849</v>
      </c>
      <c r="Y859" s="56"/>
    </row>
    <row r="860" spans="3:25" x14ac:dyDescent="0.45">
      <c r="C860" s="347">
        <f t="shared" si="579"/>
        <v>44759</v>
      </c>
      <c r="E860" s="241">
        <v>5721594</v>
      </c>
      <c r="F860" s="7"/>
      <c r="G860" s="7">
        <v>2545959</v>
      </c>
      <c r="H860" s="581"/>
      <c r="I860" s="7">
        <v>842712</v>
      </c>
      <c r="J860" s="244"/>
      <c r="K860" s="7">
        <f t="shared" ref="K860" si="655">SUM(E860:I860)</f>
        <v>9110265</v>
      </c>
      <c r="L860" s="6"/>
      <c r="M860" s="438">
        <f t="shared" ref="M860" si="656">+(K860-K859)/K859</f>
        <v>7.3894347450408841E-4</v>
      </c>
      <c r="N860" s="29"/>
      <c r="O860" s="29"/>
      <c r="P860" s="29"/>
      <c r="Q860" s="332">
        <f t="shared" ref="Q860" si="657">+K860-K859</f>
        <v>6727</v>
      </c>
      <c r="R860" s="6"/>
      <c r="S860" s="7">
        <f>69934+34159+11085</f>
        <v>115178</v>
      </c>
      <c r="T860" s="6"/>
      <c r="U860" s="243">
        <v>2.402125115017657E-2</v>
      </c>
      <c r="W860">
        <f t="shared" si="467"/>
        <v>850</v>
      </c>
      <c r="Y860" s="56"/>
    </row>
    <row r="861" spans="3:25" x14ac:dyDescent="0.45">
      <c r="C861" s="158">
        <f t="shared" si="579"/>
        <v>44760</v>
      </c>
      <c r="E861" s="241">
        <v>5735705</v>
      </c>
      <c r="F861" s="7"/>
      <c r="G861" s="7">
        <v>2548015</v>
      </c>
      <c r="H861" s="581"/>
      <c r="I861" s="7">
        <v>843286</v>
      </c>
      <c r="J861" s="244"/>
      <c r="K861" s="7">
        <f t="shared" ref="K861" si="658">SUM(E861:I861)</f>
        <v>9127006</v>
      </c>
      <c r="L861" s="6"/>
      <c r="M861" s="438">
        <f t="shared" ref="M861" si="659">+(K861-K860)/K860</f>
        <v>1.8375974793268912E-3</v>
      </c>
      <c r="N861" s="29"/>
      <c r="O861" s="29"/>
      <c r="P861" s="29"/>
      <c r="Q861" s="332">
        <f t="shared" ref="Q861" si="660">+K861-K860</f>
        <v>16741</v>
      </c>
      <c r="R861" s="6"/>
      <c r="S861" s="7">
        <f>69951+34163+11085</f>
        <v>115199</v>
      </c>
      <c r="T861" s="6"/>
      <c r="U861" s="243">
        <v>2.402125115017657E-2</v>
      </c>
      <c r="W861">
        <f t="shared" si="467"/>
        <v>851</v>
      </c>
      <c r="Y861" s="56"/>
    </row>
    <row r="862" spans="3:25" x14ac:dyDescent="0.45">
      <c r="C862" s="158">
        <f t="shared" si="579"/>
        <v>44761</v>
      </c>
      <c r="E862" s="241">
        <v>5741196</v>
      </c>
      <c r="F862" s="7"/>
      <c r="G862" s="7">
        <v>2552342</v>
      </c>
      <c r="H862" s="581"/>
      <c r="I862" s="7">
        <v>844386</v>
      </c>
      <c r="J862" s="244"/>
      <c r="K862" s="7">
        <f t="shared" ref="K862" si="661">SUM(E862:I862)</f>
        <v>9137924</v>
      </c>
      <c r="L862" s="6"/>
      <c r="M862" s="438">
        <f t="shared" ref="M862" si="662">+(K862-K861)/K861</f>
        <v>1.1962301766866375E-3</v>
      </c>
      <c r="N862" s="29"/>
      <c r="O862" s="29"/>
      <c r="P862" s="29"/>
      <c r="Q862" s="332">
        <f t="shared" ref="Q862" si="663">+K862-K861</f>
        <v>10918</v>
      </c>
      <c r="R862" s="6"/>
      <c r="S862" s="7">
        <f>70012+34174+11091</f>
        <v>115277</v>
      </c>
      <c r="T862" s="6"/>
      <c r="U862" s="243">
        <v>2.402125115017657E-2</v>
      </c>
      <c r="W862">
        <f t="shared" si="467"/>
        <v>852</v>
      </c>
      <c r="Y862" s="56"/>
    </row>
    <row r="863" spans="3:25" x14ac:dyDescent="0.45">
      <c r="C863" s="158">
        <f t="shared" si="579"/>
        <v>44762</v>
      </c>
      <c r="E863" s="241">
        <v>5749409</v>
      </c>
      <c r="F863" s="7"/>
      <c r="G863" s="7">
        <v>2556303</v>
      </c>
      <c r="H863" s="581"/>
      <c r="I863" s="7">
        <v>845240</v>
      </c>
      <c r="J863" s="244"/>
      <c r="K863" s="7">
        <f t="shared" ref="K863" si="664">SUM(E863:I863)</f>
        <v>9150952</v>
      </c>
      <c r="L863" s="6"/>
      <c r="M863" s="438">
        <f t="shared" ref="M863" si="665">+(K863-K862)/K862</f>
        <v>1.4257067579025607E-3</v>
      </c>
      <c r="N863" s="29"/>
      <c r="O863" s="29"/>
      <c r="P863" s="29"/>
      <c r="Q863" s="332">
        <f t="shared" ref="Q863" si="666">+K863-K862</f>
        <v>13028</v>
      </c>
      <c r="R863" s="6"/>
      <c r="S863" s="7">
        <f>70041+34189+11091</f>
        <v>115321</v>
      </c>
      <c r="T863" s="6"/>
      <c r="U863" s="243">
        <v>2.402125115017657E-2</v>
      </c>
      <c r="W863">
        <f t="shared" si="467"/>
        <v>853</v>
      </c>
      <c r="Y863" s="56"/>
    </row>
    <row r="864" spans="3:25" x14ac:dyDescent="0.45">
      <c r="C864" s="158">
        <f t="shared" si="579"/>
        <v>44763</v>
      </c>
      <c r="E864" s="241">
        <v>5753981</v>
      </c>
      <c r="F864" s="7"/>
      <c r="G864" s="7">
        <v>2560841</v>
      </c>
      <c r="H864" s="581"/>
      <c r="I864" s="7">
        <v>846026</v>
      </c>
      <c r="J864" s="244"/>
      <c r="K864" s="7">
        <f t="shared" ref="K864" si="667">SUM(E864:I864)</f>
        <v>9160848</v>
      </c>
      <c r="L864" s="6"/>
      <c r="M864" s="438">
        <f t="shared" ref="M864" si="668">+(K864-K863)/K863</f>
        <v>1.0814175399455708E-3</v>
      </c>
      <c r="N864" s="29"/>
      <c r="O864" s="29"/>
      <c r="P864" s="29"/>
      <c r="Q864" s="332">
        <f t="shared" ref="Q864" si="669">+K864-K863</f>
        <v>9896</v>
      </c>
      <c r="R864" s="6"/>
      <c r="S864" s="7">
        <f>70073+34196+11093</f>
        <v>115362</v>
      </c>
      <c r="T864" s="6"/>
      <c r="U864" s="243">
        <v>2.402125115017657E-2</v>
      </c>
      <c r="W864">
        <f t="shared" si="467"/>
        <v>854</v>
      </c>
      <c r="Y864" s="56"/>
    </row>
    <row r="865" spans="3:25" x14ac:dyDescent="0.45">
      <c r="C865" s="158">
        <f t="shared" si="579"/>
        <v>44764</v>
      </c>
      <c r="E865" s="241">
        <v>5766596</v>
      </c>
      <c r="F865" s="7"/>
      <c r="G865" s="7">
        <v>2565176</v>
      </c>
      <c r="H865" s="581"/>
      <c r="I865" s="7">
        <v>847255</v>
      </c>
      <c r="J865" s="244"/>
      <c r="K865" s="7">
        <f t="shared" ref="K865" si="670">SUM(E865:I865)</f>
        <v>9179027</v>
      </c>
      <c r="L865" s="6"/>
      <c r="M865" s="438">
        <f t="shared" ref="M865" si="671">+(K865-K864)/K864</f>
        <v>1.9844232760984574E-3</v>
      </c>
      <c r="N865" s="29"/>
      <c r="O865" s="29"/>
      <c r="P865" s="29"/>
      <c r="Q865" s="332">
        <f t="shared" ref="Q865" si="672">+K865-K864</f>
        <v>18179</v>
      </c>
      <c r="R865" s="6"/>
      <c r="S865" s="7">
        <f>70096+34206+11093</f>
        <v>115395</v>
      </c>
      <c r="T865" s="6"/>
      <c r="U865" s="243">
        <v>2.402125115017657E-2</v>
      </c>
      <c r="W865">
        <f t="shared" si="467"/>
        <v>855</v>
      </c>
      <c r="Y865" s="56"/>
    </row>
    <row r="866" spans="3:25" x14ac:dyDescent="0.45">
      <c r="C866" s="158">
        <f t="shared" si="579"/>
        <v>44765</v>
      </c>
      <c r="E866" s="241">
        <v>5770401</v>
      </c>
      <c r="F866" s="7"/>
      <c r="G866" s="7">
        <v>2569202</v>
      </c>
      <c r="H866" s="581"/>
      <c r="I866" s="7">
        <v>848089</v>
      </c>
      <c r="J866" s="244"/>
      <c r="K866" s="7">
        <f t="shared" ref="K866" si="673">SUM(E866:I866)</f>
        <v>9187692</v>
      </c>
      <c r="L866" s="6"/>
      <c r="M866" s="438">
        <f t="shared" ref="M866" si="674">+(K866-K865)/K865</f>
        <v>9.4399983789131465E-4</v>
      </c>
      <c r="N866" s="29"/>
      <c r="O866" s="29"/>
      <c r="P866" s="29"/>
      <c r="Q866" s="332">
        <f t="shared" ref="Q866" si="675">+K866-K865</f>
        <v>8665</v>
      </c>
      <c r="R866" s="6"/>
      <c r="S866" s="7">
        <f>70096+34217+11093</f>
        <v>115406</v>
      </c>
      <c r="T866" s="6"/>
      <c r="U866" s="243">
        <v>2.402125115017657E-2</v>
      </c>
      <c r="W866">
        <f t="shared" si="467"/>
        <v>856</v>
      </c>
      <c r="Y866" s="56"/>
    </row>
    <row r="867" spans="3:25" x14ac:dyDescent="0.45">
      <c r="C867" s="347">
        <f t="shared" si="579"/>
        <v>44766</v>
      </c>
      <c r="E867" s="241">
        <v>5773709</v>
      </c>
      <c r="F867" s="7"/>
      <c r="G867" s="7">
        <v>2572621</v>
      </c>
      <c r="H867" s="581"/>
      <c r="I867" s="7">
        <v>848549</v>
      </c>
      <c r="J867" s="244"/>
      <c r="K867" s="7">
        <f t="shared" ref="K867" si="676">SUM(E867:I867)</f>
        <v>9194879</v>
      </c>
      <c r="L867" s="6"/>
      <c r="M867" s="438">
        <f t="shared" ref="M867" si="677">+(K867-K866)/K866</f>
        <v>7.8224215613670984E-4</v>
      </c>
      <c r="N867" s="29"/>
      <c r="O867" s="29"/>
      <c r="P867" s="29"/>
      <c r="Q867" s="332">
        <f t="shared" ref="Q867" si="678">+K867-K866</f>
        <v>7187</v>
      </c>
      <c r="R867" s="6"/>
      <c r="S867" s="7">
        <f>70096+34218+11093</f>
        <v>115407</v>
      </c>
      <c r="T867" s="6"/>
      <c r="U867" s="243">
        <v>2.402125115017657E-2</v>
      </c>
      <c r="W867">
        <f t="shared" si="467"/>
        <v>857</v>
      </c>
      <c r="Y867" s="56"/>
    </row>
    <row r="868" spans="3:25" x14ac:dyDescent="0.45">
      <c r="C868" s="158">
        <f t="shared" si="579"/>
        <v>44767</v>
      </c>
      <c r="E868" s="241">
        <v>5783000</v>
      </c>
      <c r="F868" s="7"/>
      <c r="G868" s="7">
        <v>2577000</v>
      </c>
      <c r="H868" s="581"/>
      <c r="I868" s="7">
        <v>849000</v>
      </c>
      <c r="J868" s="244"/>
      <c r="K868" s="7">
        <f t="shared" ref="K868" si="679">SUM(E868:I868)</f>
        <v>9209000</v>
      </c>
      <c r="L868" s="6"/>
      <c r="M868" s="438">
        <f t="shared" ref="M868" si="680">+(K868-K867)/K867</f>
        <v>1.5357461473935654E-3</v>
      </c>
      <c r="N868" s="29"/>
      <c r="O868" s="29"/>
      <c r="P868" s="29"/>
      <c r="Q868" s="332">
        <f t="shared" ref="Q868" si="681">+K868-K867</f>
        <v>14121</v>
      </c>
      <c r="R868" s="6"/>
      <c r="S868" s="7">
        <f>70096+34218+11093</f>
        <v>115407</v>
      </c>
      <c r="T868" s="6"/>
      <c r="U868" s="243">
        <v>2.402125115017657E-2</v>
      </c>
      <c r="W868">
        <f t="shared" si="467"/>
        <v>858</v>
      </c>
      <c r="Y868" s="56"/>
    </row>
    <row r="869" spans="3:25" x14ac:dyDescent="0.45">
      <c r="C869" s="158">
        <f t="shared" si="579"/>
        <v>44768</v>
      </c>
      <c r="E869" s="241">
        <v>5792205</v>
      </c>
      <c r="F869" s="7"/>
      <c r="G869" s="7">
        <v>2577745</v>
      </c>
      <c r="H869" s="581"/>
      <c r="I869" s="7">
        <v>849895</v>
      </c>
      <c r="J869" s="244"/>
      <c r="K869" s="7">
        <f t="shared" ref="K869" si="682">SUM(E869:I869)</f>
        <v>9219845</v>
      </c>
      <c r="L869" s="6"/>
      <c r="M869" s="438">
        <f t="shared" ref="M869" si="683">+(K869-K868)/K868</f>
        <v>1.1776522966663048E-3</v>
      </c>
      <c r="N869" s="29"/>
      <c r="O869" s="29"/>
      <c r="P869" s="29"/>
      <c r="Q869" s="332">
        <f t="shared" ref="Q869" si="684">+K869-K868</f>
        <v>10845</v>
      </c>
      <c r="R869" s="6"/>
      <c r="S869" s="7">
        <f>70187+34240+11099</f>
        <v>115526</v>
      </c>
      <c r="T869" s="6"/>
      <c r="U869" s="243">
        <v>2.402125115017657E-2</v>
      </c>
      <c r="W869">
        <f t="shared" si="467"/>
        <v>859</v>
      </c>
      <c r="Y869" s="56"/>
    </row>
    <row r="870" spans="3:25" x14ac:dyDescent="0.45">
      <c r="C870" s="158">
        <f t="shared" si="579"/>
        <v>44769</v>
      </c>
      <c r="E870" s="241">
        <v>5794983</v>
      </c>
      <c r="F870" s="7"/>
      <c r="G870" s="7">
        <v>2582493</v>
      </c>
      <c r="H870" s="581"/>
      <c r="I870" s="7">
        <v>851389</v>
      </c>
      <c r="J870" s="244"/>
      <c r="K870" s="7">
        <f t="shared" ref="K870" si="685">SUM(E870:I870)</f>
        <v>9228865</v>
      </c>
      <c r="L870" s="6"/>
      <c r="M870" s="438">
        <f t="shared" ref="M870" si="686">+(K870-K869)/K869</f>
        <v>9.7832447291684396E-4</v>
      </c>
      <c r="N870" s="29"/>
      <c r="O870" s="29"/>
      <c r="P870" s="29"/>
      <c r="Q870" s="332">
        <f t="shared" ref="Q870" si="687">+K870-K869</f>
        <v>9020</v>
      </c>
      <c r="R870" s="6"/>
      <c r="S870" s="7">
        <f>70223+34253+11101</f>
        <v>115577</v>
      </c>
      <c r="T870" s="6"/>
      <c r="U870" s="243">
        <v>2.402125115017657E-2</v>
      </c>
      <c r="W870">
        <f t="shared" si="467"/>
        <v>860</v>
      </c>
      <c r="Y870" s="56"/>
    </row>
    <row r="871" spans="3:25" x14ac:dyDescent="0.45">
      <c r="C871" s="158">
        <f t="shared" si="579"/>
        <v>44770</v>
      </c>
      <c r="E871" s="241">
        <v>5807102</v>
      </c>
      <c r="F871" s="7"/>
      <c r="G871" s="7">
        <v>2582493</v>
      </c>
      <c r="H871" s="581"/>
      <c r="I871" s="7">
        <v>852438</v>
      </c>
      <c r="J871" s="244"/>
      <c r="K871" s="7">
        <f t="shared" ref="K871" si="688">SUM(E871:I871)</f>
        <v>9242033</v>
      </c>
      <c r="L871" s="6"/>
      <c r="M871" s="438">
        <f t="shared" ref="M871" si="689">+(K871-K870)/K870</f>
        <v>1.4268276759926599E-3</v>
      </c>
      <c r="N871" s="29"/>
      <c r="O871" s="29"/>
      <c r="P871" s="29"/>
      <c r="Q871" s="332">
        <f t="shared" ref="Q871" si="690">+K871-K870</f>
        <v>13168</v>
      </c>
      <c r="R871" s="6"/>
      <c r="S871" s="7">
        <f>70257+34253+11102</f>
        <v>115612</v>
      </c>
      <c r="T871" s="6"/>
      <c r="U871" s="243">
        <v>2.402125115017657E-2</v>
      </c>
      <c r="W871">
        <f t="shared" si="467"/>
        <v>861</v>
      </c>
      <c r="Y871" s="56"/>
    </row>
    <row r="872" spans="3:25" x14ac:dyDescent="0.45">
      <c r="C872" s="158">
        <f t="shared" si="579"/>
        <v>44771</v>
      </c>
      <c r="E872" s="241">
        <v>5811208</v>
      </c>
      <c r="F872" s="7"/>
      <c r="G872" s="7">
        <v>2582493</v>
      </c>
      <c r="H872" s="581"/>
      <c r="I872" s="7">
        <v>853343</v>
      </c>
      <c r="J872" s="244"/>
      <c r="K872" s="7">
        <f t="shared" ref="K872" si="691">SUM(E872:I872)</f>
        <v>9247044</v>
      </c>
      <c r="L872" s="6"/>
      <c r="M872" s="438">
        <f t="shared" ref="M872" si="692">+(K872-K871)/K871</f>
        <v>5.4219672230125125E-4</v>
      </c>
      <c r="N872" s="29"/>
      <c r="O872" s="29"/>
      <c r="P872" s="29"/>
      <c r="Q872" s="332">
        <f t="shared" ref="Q872" si="693">+K872-K871</f>
        <v>5011</v>
      </c>
      <c r="R872" s="6"/>
      <c r="S872" s="7">
        <f>70269+34253+11102</f>
        <v>115624</v>
      </c>
      <c r="T872" s="6"/>
      <c r="U872" s="243">
        <v>2.402125115017657E-2</v>
      </c>
      <c r="W872">
        <f t="shared" si="467"/>
        <v>862</v>
      </c>
      <c r="Y872" s="56"/>
    </row>
    <row r="873" spans="3:25" x14ac:dyDescent="0.45">
      <c r="C873" s="158">
        <f t="shared" si="579"/>
        <v>44772</v>
      </c>
      <c r="E873" s="241">
        <v>5814780</v>
      </c>
      <c r="F873" s="7"/>
      <c r="G873" s="7">
        <v>2582493</v>
      </c>
      <c r="H873" s="581"/>
      <c r="I873" s="7">
        <v>854110</v>
      </c>
      <c r="J873" s="244"/>
      <c r="K873" s="7">
        <f t="shared" ref="K873" si="694">SUM(E873:I873)</f>
        <v>9251383</v>
      </c>
      <c r="L873" s="6"/>
      <c r="M873" s="438">
        <f t="shared" ref="M873" si="695">+(K873-K872)/K872</f>
        <v>4.6923103210063668E-4</v>
      </c>
      <c r="N873" s="29"/>
      <c r="O873" s="29"/>
      <c r="P873" s="29"/>
      <c r="Q873" s="332">
        <f t="shared" ref="Q873" si="696">+K873-K872</f>
        <v>4339</v>
      </c>
      <c r="R873" s="6"/>
      <c r="S873" s="7">
        <f>70269+34253+11102</f>
        <v>115624</v>
      </c>
      <c r="T873" s="6"/>
      <c r="U873" s="243">
        <v>2.402125115017657E-2</v>
      </c>
      <c r="W873">
        <f t="shared" si="467"/>
        <v>863</v>
      </c>
      <c r="Y873" s="56"/>
    </row>
    <row r="874" spans="3:25" x14ac:dyDescent="0.45">
      <c r="C874" s="347">
        <f t="shared" si="579"/>
        <v>44773</v>
      </c>
      <c r="E874" s="241">
        <v>5817944</v>
      </c>
      <c r="F874" s="7"/>
      <c r="G874" s="7">
        <v>2582493</v>
      </c>
      <c r="H874" s="581"/>
      <c r="I874" s="7">
        <v>854582</v>
      </c>
      <c r="J874" s="244"/>
      <c r="K874" s="7">
        <f t="shared" ref="K874" si="697">SUM(E874:I874)</f>
        <v>9255019</v>
      </c>
      <c r="L874" s="6"/>
      <c r="M874" s="438">
        <f t="shared" ref="M874" si="698">+(K874-K873)/K873</f>
        <v>3.9302231893328812E-4</v>
      </c>
      <c r="N874" s="29"/>
      <c r="O874" s="29"/>
      <c r="P874" s="29"/>
      <c r="Q874" s="332">
        <f t="shared" ref="Q874" si="699">+K874-K873</f>
        <v>3636</v>
      </c>
      <c r="R874" s="6"/>
      <c r="S874" s="7">
        <f>70269+34253+11102</f>
        <v>115624</v>
      </c>
      <c r="T874" s="6"/>
      <c r="U874" s="243">
        <v>2.402125115017657E-2</v>
      </c>
      <c r="W874">
        <f t="shared" si="467"/>
        <v>864</v>
      </c>
      <c r="Y874" s="56"/>
    </row>
    <row r="875" spans="3:25" x14ac:dyDescent="0.45">
      <c r="C875" s="158">
        <f t="shared" si="579"/>
        <v>44774</v>
      </c>
      <c r="E875" s="241">
        <v>5833909</v>
      </c>
      <c r="F875" s="7"/>
      <c r="G875" s="7">
        <v>2599211</v>
      </c>
      <c r="H875" s="581"/>
      <c r="I875" s="7">
        <v>854934</v>
      </c>
      <c r="J875" s="244"/>
      <c r="K875" s="7">
        <f t="shared" ref="K875" si="700">SUM(E875:I875)</f>
        <v>9288054</v>
      </c>
      <c r="L875" s="6"/>
      <c r="M875" s="438">
        <f t="shared" ref="M875" si="701">+(K875-K874)/K874</f>
        <v>3.5694146062801167E-3</v>
      </c>
      <c r="N875" s="29"/>
      <c r="O875" s="29"/>
      <c r="P875" s="29"/>
      <c r="Q875" s="332">
        <f t="shared" ref="Q875" si="702">+K875-K874</f>
        <v>33035</v>
      </c>
      <c r="R875" s="6"/>
      <c r="S875" s="7">
        <f>70321+34270+11102</f>
        <v>115693</v>
      </c>
      <c r="T875" s="6"/>
      <c r="U875" s="243">
        <v>2.402125115017657E-2</v>
      </c>
      <c r="W875">
        <f t="shared" si="467"/>
        <v>865</v>
      </c>
      <c r="Y875" s="56"/>
    </row>
    <row r="876" spans="3:25" x14ac:dyDescent="0.45">
      <c r="C876" s="158">
        <f t="shared" si="579"/>
        <v>44775</v>
      </c>
      <c r="E876" s="241">
        <v>5838379</v>
      </c>
      <c r="F876" s="7"/>
      <c r="G876" s="7">
        <v>2599211</v>
      </c>
      <c r="H876" s="581"/>
      <c r="I876" s="7">
        <v>856003</v>
      </c>
      <c r="J876" s="244"/>
      <c r="K876" s="7">
        <f t="shared" ref="K876" si="703">SUM(E876:I876)</f>
        <v>9293593</v>
      </c>
      <c r="L876" s="6"/>
      <c r="M876" s="438">
        <f t="shared" ref="M876" si="704">+(K876-K875)/K875</f>
        <v>5.9635742858514822E-4</v>
      </c>
      <c r="N876" s="29"/>
      <c r="O876" s="29"/>
      <c r="P876" s="29"/>
      <c r="Q876" s="332">
        <f t="shared" ref="Q876" si="705">+K876-K875</f>
        <v>5539</v>
      </c>
      <c r="R876" s="6"/>
      <c r="S876" s="7">
        <f>70381+34270+11129</f>
        <v>115780</v>
      </c>
      <c r="T876" s="6"/>
      <c r="U876" s="243">
        <v>2.402125115017657E-2</v>
      </c>
      <c r="W876">
        <f t="shared" si="467"/>
        <v>866</v>
      </c>
      <c r="Y876" s="56"/>
    </row>
    <row r="877" spans="3:25" x14ac:dyDescent="0.45">
      <c r="C877" s="158">
        <f t="shared" si="579"/>
        <v>44776</v>
      </c>
      <c r="E877" s="241">
        <v>5842486</v>
      </c>
      <c r="F877" s="7"/>
      <c r="G877" s="7">
        <v>2606229</v>
      </c>
      <c r="H877" s="581"/>
      <c r="I877" s="7">
        <v>857105</v>
      </c>
      <c r="J877" s="244"/>
      <c r="K877" s="7">
        <f t="shared" ref="K877" si="706">SUM(E877:I877)</f>
        <v>9305820</v>
      </c>
      <c r="L877" s="6"/>
      <c r="M877" s="438">
        <f t="shared" ref="M877" si="707">+(K877-K876)/K876</f>
        <v>1.3156375580467103E-3</v>
      </c>
      <c r="N877" s="29"/>
      <c r="O877" s="29"/>
      <c r="P877" s="29"/>
      <c r="Q877" s="332">
        <f t="shared" ref="Q877" si="708">+K877-K876</f>
        <v>12227</v>
      </c>
      <c r="R877" s="6"/>
      <c r="S877" s="7">
        <f>70390+34307+11129</f>
        <v>115826</v>
      </c>
      <c r="T877" s="6"/>
      <c r="U877" s="243">
        <v>2.402125115017657E-2</v>
      </c>
      <c r="W877">
        <f t="shared" si="467"/>
        <v>867</v>
      </c>
      <c r="Y877" s="56"/>
    </row>
    <row r="878" spans="3:25" x14ac:dyDescent="0.45">
      <c r="C878" s="158">
        <f t="shared" si="579"/>
        <v>44777</v>
      </c>
      <c r="E878" s="241">
        <v>5853678</v>
      </c>
      <c r="F878" s="7"/>
      <c r="G878" s="7">
        <v>2609923</v>
      </c>
      <c r="H878" s="581"/>
      <c r="I878" s="7">
        <v>857870</v>
      </c>
      <c r="J878" s="244"/>
      <c r="K878" s="7">
        <f t="shared" ref="K878" si="709">SUM(E878:I878)</f>
        <v>9321471</v>
      </c>
      <c r="L878" s="6"/>
      <c r="M878" s="438">
        <f t="shared" ref="M878" si="710">+(K878-K877)/K877</f>
        <v>1.6818507127797442E-3</v>
      </c>
      <c r="N878" s="29"/>
      <c r="O878" s="29"/>
      <c r="P878" s="29"/>
      <c r="Q878" s="332">
        <f t="shared" ref="Q878" si="711">+K878-K877</f>
        <v>15651</v>
      </c>
      <c r="R878" s="6"/>
      <c r="S878" s="7">
        <f>70459+34320+11130</f>
        <v>115909</v>
      </c>
      <c r="T878" s="6"/>
      <c r="U878" s="243">
        <v>2.402125115017657E-2</v>
      </c>
      <c r="W878">
        <f t="shared" si="467"/>
        <v>868</v>
      </c>
      <c r="Y878" s="56"/>
    </row>
    <row r="879" spans="3:25" x14ac:dyDescent="0.45">
      <c r="C879" s="158">
        <f t="shared" si="579"/>
        <v>44778</v>
      </c>
      <c r="E879" s="241">
        <v>5861208</v>
      </c>
      <c r="F879" s="7"/>
      <c r="G879" s="7">
        <v>2613856</v>
      </c>
      <c r="H879" s="581"/>
      <c r="I879" s="7">
        <v>858702</v>
      </c>
      <c r="J879" s="244"/>
      <c r="K879" s="7">
        <f t="shared" ref="K879" si="712">SUM(E879:I879)</f>
        <v>9333766</v>
      </c>
      <c r="L879" s="6"/>
      <c r="M879" s="438">
        <f t="shared" ref="M879" si="713">+(K879-K878)/K878</f>
        <v>1.3189978277033743E-3</v>
      </c>
      <c r="N879" s="29"/>
      <c r="O879" s="29"/>
      <c r="P879" s="29"/>
      <c r="Q879" s="332">
        <f t="shared" ref="Q879" si="714">+K879-K878</f>
        <v>12295</v>
      </c>
      <c r="R879" s="6"/>
      <c r="S879" s="7">
        <f>70490+34326+11137</f>
        <v>115953</v>
      </c>
      <c r="T879" s="6"/>
      <c r="U879" s="243">
        <v>2.402125115017657E-2</v>
      </c>
      <c r="W879">
        <f t="shared" si="467"/>
        <v>869</v>
      </c>
      <c r="Y879" s="56"/>
    </row>
    <row r="880" spans="3:25" x14ac:dyDescent="0.45">
      <c r="C880" s="158">
        <f t="shared" si="579"/>
        <v>44779</v>
      </c>
      <c r="E880" s="241">
        <v>5864341</v>
      </c>
      <c r="F880" s="7"/>
      <c r="G880" s="7">
        <v>2617438</v>
      </c>
      <c r="H880" s="581"/>
      <c r="I880" s="7">
        <v>859559</v>
      </c>
      <c r="J880" s="244"/>
      <c r="K880" s="7">
        <f t="shared" ref="K880" si="715">SUM(E880:I880)</f>
        <v>9341338</v>
      </c>
      <c r="L880" s="6"/>
      <c r="M880" s="438">
        <f t="shared" ref="M880" si="716">+(K880-K879)/K879</f>
        <v>8.1124810714131891E-4</v>
      </c>
      <c r="N880" s="29"/>
      <c r="O880" s="29"/>
      <c r="P880" s="29"/>
      <c r="Q880" s="332">
        <f t="shared" ref="Q880" si="717">+K880-K879</f>
        <v>7572</v>
      </c>
      <c r="R880" s="6"/>
      <c r="S880" s="7">
        <f>70490+34335+11138</f>
        <v>115963</v>
      </c>
      <c r="T880" s="6"/>
      <c r="U880" s="243">
        <v>2.402125115017657E-2</v>
      </c>
      <c r="W880">
        <f t="shared" si="467"/>
        <v>870</v>
      </c>
      <c r="Y880" s="56"/>
    </row>
    <row r="881" spans="3:25" x14ac:dyDescent="0.45">
      <c r="C881" s="347">
        <f t="shared" si="579"/>
        <v>44780</v>
      </c>
      <c r="E881" s="241">
        <v>5866926</v>
      </c>
      <c r="F881" s="7"/>
      <c r="G881" s="7">
        <v>2620049</v>
      </c>
      <c r="H881" s="581"/>
      <c r="I881" s="7">
        <v>859975</v>
      </c>
      <c r="J881" s="244"/>
      <c r="K881" s="7">
        <f t="shared" ref="K881" si="718">SUM(E881:I881)</f>
        <v>9346950</v>
      </c>
      <c r="L881" s="6"/>
      <c r="M881" s="438">
        <f t="shared" ref="M881" si="719">+(K881-K880)/K880</f>
        <v>6.0077046778523593E-4</v>
      </c>
      <c r="N881" s="29"/>
      <c r="O881" s="29"/>
      <c r="P881" s="29"/>
      <c r="Q881" s="332">
        <f t="shared" ref="Q881" si="720">+K881-K880</f>
        <v>5612</v>
      </c>
      <c r="R881" s="6"/>
      <c r="S881" s="7">
        <f>70490+34337+11138</f>
        <v>115965</v>
      </c>
      <c r="T881" s="6"/>
      <c r="U881" s="243">
        <v>2.402125115017657E-2</v>
      </c>
      <c r="W881">
        <f t="shared" si="467"/>
        <v>871</v>
      </c>
      <c r="Y881" s="56"/>
    </row>
    <row r="882" spans="3:25" x14ac:dyDescent="0.45">
      <c r="C882" s="158">
        <f t="shared" si="579"/>
        <v>44781</v>
      </c>
      <c r="E882" s="241">
        <v>5876474</v>
      </c>
      <c r="F882" s="7"/>
      <c r="G882" s="7">
        <v>2621249</v>
      </c>
      <c r="H882" s="581"/>
      <c r="I882" s="7">
        <v>860321</v>
      </c>
      <c r="J882" s="244"/>
      <c r="K882" s="7">
        <f t="shared" ref="K882" si="721">SUM(E882:I882)</f>
        <v>9358044</v>
      </c>
      <c r="L882" s="6"/>
      <c r="M882" s="438">
        <f t="shared" ref="M882" si="722">+(K882-K881)/K881</f>
        <v>1.1869112384253688E-3</v>
      </c>
      <c r="N882" s="29"/>
      <c r="O882" s="29"/>
      <c r="P882" s="29"/>
      <c r="Q882" s="332">
        <f t="shared" ref="Q882" si="723">+K882-K881</f>
        <v>11094</v>
      </c>
      <c r="R882" s="6"/>
      <c r="S882" s="7">
        <f>70511+34343+11138</f>
        <v>115992</v>
      </c>
      <c r="T882" s="6"/>
      <c r="U882" s="243">
        <v>2.402125115017657E-2</v>
      </c>
      <c r="W882">
        <f t="shared" si="467"/>
        <v>872</v>
      </c>
      <c r="Y882" s="56"/>
    </row>
    <row r="883" spans="3:25" x14ac:dyDescent="0.45">
      <c r="C883" s="158">
        <f t="shared" si="579"/>
        <v>44782</v>
      </c>
      <c r="E883" s="241">
        <v>5881456</v>
      </c>
      <c r="F883" s="7"/>
      <c r="G883" s="7">
        <v>2624713</v>
      </c>
      <c r="H883" s="581"/>
      <c r="I883" s="7">
        <v>861453</v>
      </c>
      <c r="J883" s="244"/>
      <c r="K883" s="7">
        <f t="shared" ref="K883" si="724">SUM(E883:I883)</f>
        <v>9367622</v>
      </c>
      <c r="L883" s="6"/>
      <c r="M883" s="438">
        <f t="shared" ref="M883" si="725">+(K883-K882)/K882</f>
        <v>1.0235044844841507E-3</v>
      </c>
      <c r="N883" s="29"/>
      <c r="O883" s="29"/>
      <c r="P883" s="29"/>
      <c r="Q883" s="332">
        <f t="shared" ref="Q883" si="726">+K883-K882</f>
        <v>9578</v>
      </c>
      <c r="R883" s="6"/>
      <c r="S883" s="7">
        <f>70577+34346+11159</f>
        <v>116082</v>
      </c>
      <c r="T883" s="6"/>
      <c r="U883" s="243">
        <v>2.402125115017657E-2</v>
      </c>
      <c r="W883">
        <f t="shared" si="467"/>
        <v>873</v>
      </c>
      <c r="Y883" s="56"/>
    </row>
    <row r="884" spans="3:25" x14ac:dyDescent="0.45">
      <c r="C884" s="158">
        <f t="shared" si="579"/>
        <v>44783</v>
      </c>
      <c r="E884" s="241">
        <v>5887707</v>
      </c>
      <c r="F884" s="7"/>
      <c r="G884" s="7">
        <v>2627779</v>
      </c>
      <c r="H884" s="581"/>
      <c r="I884" s="7">
        <v>862307</v>
      </c>
      <c r="J884" s="244"/>
      <c r="K884" s="7">
        <f t="shared" ref="K884" si="727">SUM(E884:I884)</f>
        <v>9377793</v>
      </c>
      <c r="L884" s="6"/>
      <c r="M884" s="438">
        <f t="shared" ref="M884" si="728">+(K884-K883)/K883</f>
        <v>1.0857611462119201E-3</v>
      </c>
      <c r="N884" s="29"/>
      <c r="O884" s="29"/>
      <c r="P884" s="29"/>
      <c r="Q884" s="332">
        <f t="shared" ref="Q884" si="729">+K884-K883</f>
        <v>10171</v>
      </c>
      <c r="R884" s="6"/>
      <c r="S884" s="7">
        <f>70610+34375+11163</f>
        <v>116148</v>
      </c>
      <c r="T884" s="6"/>
      <c r="U884" s="243">
        <v>2.402125115017657E-2</v>
      </c>
      <c r="W884">
        <f t="shared" si="467"/>
        <v>874</v>
      </c>
      <c r="Y884" s="56"/>
    </row>
    <row r="885" spans="3:25" x14ac:dyDescent="0.45">
      <c r="C885" s="158">
        <f t="shared" si="579"/>
        <v>44784</v>
      </c>
      <c r="E885" s="241">
        <v>5895283</v>
      </c>
      <c r="F885" s="7"/>
      <c r="G885" s="7">
        <v>2631275</v>
      </c>
      <c r="H885" s="581"/>
      <c r="I885" s="7">
        <v>863132</v>
      </c>
      <c r="J885" s="244"/>
      <c r="K885" s="7">
        <f t="shared" ref="K885" si="730">SUM(E885:I885)</f>
        <v>9389690</v>
      </c>
      <c r="L885" s="6"/>
      <c r="M885" s="438">
        <f t="shared" ref="M885" si="731">+(K885-K884)/K884</f>
        <v>1.2686353814804826E-3</v>
      </c>
      <c r="N885" s="29"/>
      <c r="O885" s="29"/>
      <c r="P885" s="29"/>
      <c r="Q885" s="332">
        <f t="shared" ref="Q885" si="732">+K885-K884</f>
        <v>11897</v>
      </c>
      <c r="R885" s="6"/>
      <c r="S885" s="7">
        <f>70658+34385+11164</f>
        <v>116207</v>
      </c>
      <c r="T885" s="6"/>
      <c r="U885" s="243">
        <v>2.402125115017657E-2</v>
      </c>
      <c r="W885">
        <f t="shared" si="467"/>
        <v>875</v>
      </c>
      <c r="Y885" s="56"/>
    </row>
    <row r="886" spans="3:25" x14ac:dyDescent="0.45">
      <c r="C886" s="158">
        <f t="shared" si="579"/>
        <v>44785</v>
      </c>
      <c r="E886" s="241">
        <v>5901562</v>
      </c>
      <c r="F886" s="7"/>
      <c r="G886" s="7">
        <v>2634282</v>
      </c>
      <c r="H886" s="581"/>
      <c r="I886" s="7">
        <v>863913</v>
      </c>
      <c r="J886" s="244"/>
      <c r="K886" s="7">
        <f t="shared" ref="K886" si="733">SUM(E886:I886)</f>
        <v>9399757</v>
      </c>
      <c r="L886" s="6"/>
      <c r="M886" s="438">
        <f t="shared" ref="M886" si="734">+(K886-K885)/K885</f>
        <v>1.072133371815257E-3</v>
      </c>
      <c r="N886" s="29"/>
      <c r="O886" s="29"/>
      <c r="P886" s="29"/>
      <c r="Q886" s="332">
        <f t="shared" ref="Q886" si="735">+K886-K885</f>
        <v>10067</v>
      </c>
      <c r="R886" s="6"/>
      <c r="S886" s="7">
        <f>70693+34396+11164</f>
        <v>116253</v>
      </c>
      <c r="T886" s="6"/>
      <c r="U886" s="243">
        <v>2.402125115017657E-2</v>
      </c>
      <c r="W886">
        <f t="shared" si="467"/>
        <v>876</v>
      </c>
      <c r="Y886" s="56"/>
    </row>
    <row r="887" spans="3:25" x14ac:dyDescent="0.45">
      <c r="C887" s="158">
        <f t="shared" si="579"/>
        <v>44786</v>
      </c>
      <c r="E887" s="241">
        <v>5904468</v>
      </c>
      <c r="F887" s="7"/>
      <c r="G887" s="7">
        <v>2637379</v>
      </c>
      <c r="H887" s="581"/>
      <c r="I887" s="7">
        <v>864525</v>
      </c>
      <c r="J887" s="244"/>
      <c r="K887" s="7">
        <f t="shared" ref="K887" si="736">SUM(E887:I887)</f>
        <v>9406372</v>
      </c>
      <c r="L887" s="6"/>
      <c r="M887" s="438">
        <f t="shared" ref="M887" si="737">+(K887-K886)/K886</f>
        <v>7.0374159672425575E-4</v>
      </c>
      <c r="N887" s="29"/>
      <c r="O887" s="29"/>
      <c r="P887" s="29"/>
      <c r="Q887" s="332">
        <f t="shared" ref="Q887" si="738">+K887-K886</f>
        <v>6615</v>
      </c>
      <c r="R887" s="6"/>
      <c r="S887" s="7">
        <f>70693+34402+11164</f>
        <v>116259</v>
      </c>
      <c r="T887" s="6"/>
      <c r="U887" s="243">
        <v>2.402125115017657E-2</v>
      </c>
      <c r="W887">
        <f t="shared" si="467"/>
        <v>877</v>
      </c>
      <c r="Y887" s="56"/>
    </row>
    <row r="888" spans="3:25" x14ac:dyDescent="0.45">
      <c r="C888" s="347">
        <f t="shared" si="579"/>
        <v>44787</v>
      </c>
      <c r="E888" s="241">
        <v>5906949</v>
      </c>
      <c r="F888" s="7"/>
      <c r="G888" s="7">
        <v>2639310</v>
      </c>
      <c r="H888" s="581"/>
      <c r="I888" s="7">
        <v>864915</v>
      </c>
      <c r="J888" s="244"/>
      <c r="K888" s="7">
        <f t="shared" ref="K888" si="739">SUM(E888:I888)</f>
        <v>9411174</v>
      </c>
      <c r="L888" s="6"/>
      <c r="M888" s="438">
        <f t="shared" ref="M888" si="740">+(K888-K887)/K887</f>
        <v>5.1050500660616014E-4</v>
      </c>
      <c r="N888" s="29"/>
      <c r="O888" s="29"/>
      <c r="P888" s="29"/>
      <c r="Q888" s="332">
        <f t="shared" ref="Q888" si="741">+K888-K887</f>
        <v>4802</v>
      </c>
      <c r="R888" s="6"/>
      <c r="S888" s="7">
        <f>70693+34404+11164</f>
        <v>116261</v>
      </c>
      <c r="T888" s="6"/>
      <c r="U888" s="243">
        <v>2.402125115017657E-2</v>
      </c>
      <c r="W888">
        <f t="shared" si="467"/>
        <v>878</v>
      </c>
      <c r="Y888" s="56"/>
    </row>
    <row r="889" spans="3:25" x14ac:dyDescent="0.45">
      <c r="C889" s="158">
        <f t="shared" si="579"/>
        <v>44788</v>
      </c>
      <c r="E889" s="241">
        <v>5913100</v>
      </c>
      <c r="F889" s="7"/>
      <c r="G889" s="7">
        <v>2640445</v>
      </c>
      <c r="H889" s="581"/>
      <c r="I889" s="7">
        <v>865196</v>
      </c>
      <c r="J889" s="244"/>
      <c r="K889" s="7">
        <f t="shared" ref="K889" si="742">SUM(E889:I889)</f>
        <v>9418741</v>
      </c>
      <c r="L889" s="6"/>
      <c r="M889" s="438">
        <f t="shared" ref="M889" si="743">+(K889-K888)/K888</f>
        <v>8.0404421382497017E-4</v>
      </c>
      <c r="N889" s="29"/>
      <c r="O889" s="29"/>
      <c r="P889" s="29"/>
      <c r="Q889" s="332">
        <f t="shared" ref="Q889" si="744">+K889-K888</f>
        <v>7567</v>
      </c>
      <c r="R889" s="6"/>
      <c r="S889" s="7">
        <f>70718+34404+11164</f>
        <v>116286</v>
      </c>
      <c r="T889" s="6"/>
      <c r="U889" s="243">
        <v>2.402125115017657E-2</v>
      </c>
      <c r="W889">
        <f t="shared" si="467"/>
        <v>879</v>
      </c>
      <c r="Y889" s="56"/>
    </row>
    <row r="890" spans="3:25" x14ac:dyDescent="0.45">
      <c r="C890" s="158">
        <f t="shared" si="579"/>
        <v>44789</v>
      </c>
      <c r="D890" s="549" t="s">
        <v>26</v>
      </c>
      <c r="E890" s="241">
        <v>5920000</v>
      </c>
      <c r="F890" s="7"/>
      <c r="G890" s="7">
        <v>2642000</v>
      </c>
      <c r="H890" s="581"/>
      <c r="I890" s="7">
        <v>865500</v>
      </c>
      <c r="J890" s="244"/>
      <c r="K890" s="7">
        <f t="shared" ref="K890:K891" si="745">SUM(E890:I890)</f>
        <v>9427500</v>
      </c>
      <c r="L890" s="6"/>
      <c r="M890" s="438">
        <f t="shared" ref="M890:M891" si="746">+(K890-K889)/K889</f>
        <v>9.2995443870895272E-4</v>
      </c>
      <c r="N890" s="29"/>
      <c r="O890" s="29"/>
      <c r="P890" s="29"/>
      <c r="Q890" s="332">
        <f t="shared" ref="Q890:Q891" si="747">+K890-K889</f>
        <v>8759</v>
      </c>
      <c r="R890" s="6"/>
      <c r="S890" s="7">
        <f>70718+34404+11164</f>
        <v>116286</v>
      </c>
      <c r="T890" s="6"/>
      <c r="U890" s="243">
        <v>2.402125115017657E-2</v>
      </c>
      <c r="W890">
        <f t="shared" si="467"/>
        <v>880</v>
      </c>
      <c r="Y890" s="56"/>
    </row>
    <row r="891" spans="3:25" x14ac:dyDescent="0.45">
      <c r="C891" s="158">
        <f t="shared" si="579"/>
        <v>44790</v>
      </c>
      <c r="E891" s="241">
        <v>5924518</v>
      </c>
      <c r="F891" s="7"/>
      <c r="G891" s="7">
        <v>2645729</v>
      </c>
      <c r="H891" s="581"/>
      <c r="I891" s="7">
        <v>866537</v>
      </c>
      <c r="J891" s="244"/>
      <c r="K891" s="7">
        <f t="shared" si="745"/>
        <v>9436784</v>
      </c>
      <c r="L891" s="6"/>
      <c r="M891" s="438">
        <f t="shared" si="746"/>
        <v>9.8477857332272606E-4</v>
      </c>
      <c r="N891" s="29"/>
      <c r="O891" s="29"/>
      <c r="P891" s="29"/>
      <c r="Q891" s="332">
        <f t="shared" si="747"/>
        <v>9284</v>
      </c>
      <c r="R891" s="6"/>
      <c r="S891" s="7">
        <f>70798+34425+11180</f>
        <v>116403</v>
      </c>
      <c r="T891" s="6"/>
      <c r="U891" s="243">
        <v>2.402125115017657E-2</v>
      </c>
      <c r="W891">
        <f t="shared" si="467"/>
        <v>881</v>
      </c>
      <c r="Y891" s="56"/>
    </row>
    <row r="892" spans="3:25" x14ac:dyDescent="0.45">
      <c r="C892" s="158">
        <f t="shared" si="579"/>
        <v>44791</v>
      </c>
      <c r="E892" s="241">
        <v>5930531</v>
      </c>
      <c r="F892" s="7"/>
      <c r="G892" s="7">
        <v>2648876</v>
      </c>
      <c r="H892" s="581"/>
      <c r="I892" s="7">
        <v>866984</v>
      </c>
      <c r="J892" s="244"/>
      <c r="K892" s="7">
        <f t="shared" ref="K892" si="748">SUM(E892:I892)</f>
        <v>9446391</v>
      </c>
      <c r="L892" s="6"/>
      <c r="M892" s="438">
        <f t="shared" ref="M892" si="749">+(K892-K891)/K891</f>
        <v>1.0180375009113275E-3</v>
      </c>
      <c r="N892" s="29"/>
      <c r="O892" s="29"/>
      <c r="P892" s="29"/>
      <c r="Q892" s="332">
        <f t="shared" ref="Q892" si="750">+K892-K891</f>
        <v>9607</v>
      </c>
      <c r="R892" s="6"/>
      <c r="S892" s="7">
        <f>70821+34440+11180</f>
        <v>116441</v>
      </c>
      <c r="T892" s="6"/>
      <c r="U892" s="243">
        <v>2.402125115017657E-2</v>
      </c>
      <c r="W892">
        <f t="shared" si="467"/>
        <v>882</v>
      </c>
      <c r="Y892" s="56"/>
    </row>
    <row r="893" spans="3:25" x14ac:dyDescent="0.45">
      <c r="C893" s="158">
        <f t="shared" si="579"/>
        <v>44792</v>
      </c>
      <c r="E893" s="241">
        <v>5936030</v>
      </c>
      <c r="F893" s="7"/>
      <c r="G893" s="7">
        <v>2651571</v>
      </c>
      <c r="H893" s="581"/>
      <c r="I893" s="7">
        <v>868194</v>
      </c>
      <c r="J893" s="244"/>
      <c r="K893" s="7">
        <f t="shared" ref="K893" si="751">SUM(E893:I893)</f>
        <v>9455795</v>
      </c>
      <c r="L893" s="6"/>
      <c r="M893" s="438">
        <f t="shared" ref="M893" si="752">+(K893-K892)/K892</f>
        <v>9.9551246608360795E-4</v>
      </c>
      <c r="N893" s="29"/>
      <c r="O893" s="29"/>
      <c r="P893" s="29"/>
      <c r="Q893" s="332">
        <f t="shared" ref="Q893" si="753">+K893-K892</f>
        <v>9404</v>
      </c>
      <c r="R893" s="6"/>
      <c r="S893" s="7">
        <f>70850+34447+11180</f>
        <v>116477</v>
      </c>
      <c r="T893" s="6"/>
      <c r="U893" s="243">
        <v>2.402125115017657E-2</v>
      </c>
      <c r="W893">
        <f t="shared" si="467"/>
        <v>883</v>
      </c>
      <c r="Y893" s="56"/>
    </row>
    <row r="894" spans="3:25" x14ac:dyDescent="0.45">
      <c r="C894" s="158">
        <f t="shared" si="579"/>
        <v>44793</v>
      </c>
      <c r="E894" s="241">
        <v>5938892</v>
      </c>
      <c r="F894" s="7"/>
      <c r="G894" s="7">
        <v>2654188</v>
      </c>
      <c r="H894" s="581"/>
      <c r="I894" s="7">
        <v>868786</v>
      </c>
      <c r="J894" s="244"/>
      <c r="K894" s="7">
        <f t="shared" ref="K894" si="754">SUM(E894:I894)</f>
        <v>9461866</v>
      </c>
      <c r="L894" s="6"/>
      <c r="M894" s="438">
        <f t="shared" ref="M894" si="755">+(K894-K893)/K893</f>
        <v>6.4204014575189078E-4</v>
      </c>
      <c r="N894" s="29"/>
      <c r="O894" s="29"/>
      <c r="P894" s="29"/>
      <c r="Q894" s="332">
        <f t="shared" ref="Q894" si="756">+K894-K893</f>
        <v>6071</v>
      </c>
      <c r="R894" s="6"/>
      <c r="S894" s="7">
        <f>70850+34456+11180</f>
        <v>116486</v>
      </c>
      <c r="T894" s="6"/>
      <c r="U894" s="243">
        <v>2.402125115017657E-2</v>
      </c>
      <c r="W894">
        <f t="shared" si="467"/>
        <v>884</v>
      </c>
      <c r="Y894" s="56"/>
    </row>
    <row r="895" spans="3:25" x14ac:dyDescent="0.45">
      <c r="C895" s="347">
        <f t="shared" si="579"/>
        <v>44794</v>
      </c>
      <c r="E895" s="241">
        <v>5941350</v>
      </c>
      <c r="F895" s="7"/>
      <c r="G895" s="7">
        <v>2656123</v>
      </c>
      <c r="H895" s="581"/>
      <c r="I895" s="7">
        <v>869106</v>
      </c>
      <c r="J895" s="244"/>
      <c r="K895" s="7">
        <f t="shared" ref="K895" si="757">SUM(E895:I895)</f>
        <v>9466579</v>
      </c>
      <c r="L895" s="6"/>
      <c r="M895" s="438">
        <f t="shared" ref="M895" si="758">+(K895-K894)/K894</f>
        <v>4.9810470788742942E-4</v>
      </c>
      <c r="N895" s="29"/>
      <c r="O895" s="29"/>
      <c r="P895" s="29"/>
      <c r="Q895" s="332">
        <f t="shared" ref="Q895" si="759">+K895-K894</f>
        <v>4713</v>
      </c>
      <c r="R895" s="6"/>
      <c r="S895" s="7">
        <f>70850+34461+11180</f>
        <v>116491</v>
      </c>
      <c r="T895" s="6"/>
      <c r="U895" s="243">
        <v>2.402125115017657E-2</v>
      </c>
      <c r="W895">
        <f t="shared" si="467"/>
        <v>885</v>
      </c>
      <c r="Y895" s="56"/>
    </row>
    <row r="896" spans="3:25" x14ac:dyDescent="0.45">
      <c r="C896" s="158">
        <f t="shared" si="579"/>
        <v>44795</v>
      </c>
      <c r="E896" s="241">
        <v>5947458</v>
      </c>
      <c r="F896" s="7"/>
      <c r="G896" s="7">
        <v>2656736</v>
      </c>
      <c r="H896" s="581"/>
      <c r="I896" s="7">
        <v>869372</v>
      </c>
      <c r="J896" s="244"/>
      <c r="K896" s="7">
        <f t="shared" ref="K896" si="760">SUM(E896:I896)</f>
        <v>9473566</v>
      </c>
      <c r="L896" s="6"/>
      <c r="M896" s="438">
        <f t="shared" ref="M896" si="761">+(K896-K895)/K895</f>
        <v>7.3807021522769739E-4</v>
      </c>
      <c r="N896" s="29"/>
      <c r="O896" s="29"/>
      <c r="P896" s="29"/>
      <c r="Q896" s="332">
        <f t="shared" ref="Q896" si="762">+K896-K895</f>
        <v>6987</v>
      </c>
      <c r="R896" s="6"/>
      <c r="S896" s="7">
        <f>70882+34467+11180</f>
        <v>116529</v>
      </c>
      <c r="T896" s="6"/>
      <c r="U896" s="243">
        <v>2.402125115017657E-2</v>
      </c>
      <c r="W896">
        <f t="shared" si="467"/>
        <v>886</v>
      </c>
      <c r="Y896" s="56"/>
    </row>
    <row r="897" spans="3:25" x14ac:dyDescent="0.45">
      <c r="C897" s="158">
        <f t="shared" si="579"/>
        <v>44796</v>
      </c>
      <c r="E897" s="241">
        <v>5953690</v>
      </c>
      <c r="F897" s="7"/>
      <c r="G897" s="7">
        <v>2659686</v>
      </c>
      <c r="H897" s="581"/>
      <c r="I897" s="7">
        <v>869918</v>
      </c>
      <c r="J897" s="244"/>
      <c r="K897" s="7">
        <f t="shared" ref="K897" si="763">SUM(E897:I897)</f>
        <v>9483294</v>
      </c>
      <c r="L897" s="6"/>
      <c r="M897" s="438">
        <f t="shared" ref="M897" si="764">+(K897-K896)/K896</f>
        <v>1.026857257341111E-3</v>
      </c>
      <c r="N897" s="29"/>
      <c r="O897" s="29"/>
      <c r="P897" s="29"/>
      <c r="Q897" s="332">
        <f t="shared" ref="Q897" si="765">+K897-K896</f>
        <v>9728</v>
      </c>
      <c r="R897" s="6"/>
      <c r="S897" s="7">
        <f>70938+34480+11194</f>
        <v>116612</v>
      </c>
      <c r="T897" s="6"/>
      <c r="U897" s="243">
        <v>2.402125115017657E-2</v>
      </c>
      <c r="W897">
        <f t="shared" si="467"/>
        <v>887</v>
      </c>
      <c r="Y897" s="56"/>
    </row>
    <row r="898" spans="3:25" x14ac:dyDescent="0.45">
      <c r="C898" s="158">
        <f t="shared" si="579"/>
        <v>44797</v>
      </c>
      <c r="E898" s="241">
        <v>5957945</v>
      </c>
      <c r="F898" s="7"/>
      <c r="G898" s="7">
        <v>2661873</v>
      </c>
      <c r="H898" s="581"/>
      <c r="I898" s="7">
        <v>871037</v>
      </c>
      <c r="J898" s="244"/>
      <c r="K898" s="7">
        <f t="shared" ref="K898" si="766">SUM(E898:I898)</f>
        <v>9490855</v>
      </c>
      <c r="L898" s="6"/>
      <c r="M898" s="438">
        <f t="shared" ref="M898" si="767">+(K898-K897)/K897</f>
        <v>7.9729680425388058E-4</v>
      </c>
      <c r="N898" s="29"/>
      <c r="O898" s="29"/>
      <c r="P898" s="29"/>
      <c r="Q898" s="332">
        <f t="shared" ref="Q898" si="768">+K898-K897</f>
        <v>7561</v>
      </c>
      <c r="R898" s="6"/>
      <c r="S898" s="7">
        <f>70970+34497+11195</f>
        <v>116662</v>
      </c>
      <c r="T898" s="6"/>
      <c r="U898" s="243">
        <v>2.402125115017657E-2</v>
      </c>
      <c r="W898">
        <f t="shared" si="467"/>
        <v>888</v>
      </c>
      <c r="Y898" s="56"/>
    </row>
    <row r="899" spans="3:25" x14ac:dyDescent="0.45">
      <c r="C899" s="158">
        <f t="shared" si="579"/>
        <v>44798</v>
      </c>
      <c r="E899" s="241">
        <v>5965832</v>
      </c>
      <c r="F899" s="7"/>
      <c r="G899" s="7">
        <v>2666991</v>
      </c>
      <c r="H899" s="581"/>
      <c r="I899" s="7">
        <v>871962</v>
      </c>
      <c r="J899" s="244"/>
      <c r="K899" s="7">
        <f t="shared" ref="K899" si="769">SUM(E899:I899)</f>
        <v>9504785</v>
      </c>
      <c r="L899" s="6"/>
      <c r="M899" s="438">
        <f t="shared" ref="M899" si="770">+(K899-K898)/K898</f>
        <v>1.4677286714421408E-3</v>
      </c>
      <c r="N899" s="29"/>
      <c r="O899" s="29"/>
      <c r="P899" s="29"/>
      <c r="Q899" s="332">
        <f t="shared" ref="Q899" si="771">+K899-K898</f>
        <v>13930</v>
      </c>
      <c r="R899" s="6"/>
      <c r="S899" s="7">
        <f>71000+34520+11195</f>
        <v>116715</v>
      </c>
      <c r="T899" s="6"/>
      <c r="U899" s="243">
        <v>2.402125115017657E-2</v>
      </c>
      <c r="W899">
        <f t="shared" si="467"/>
        <v>889</v>
      </c>
      <c r="Y899" s="56"/>
    </row>
    <row r="900" spans="3:25" x14ac:dyDescent="0.45">
      <c r="C900" s="158">
        <f t="shared" si="579"/>
        <v>44799</v>
      </c>
      <c r="E900" s="241">
        <v>5968690</v>
      </c>
      <c r="F900" s="7"/>
      <c r="G900" s="7">
        <v>2666991</v>
      </c>
      <c r="H900" s="581"/>
      <c r="I900" s="7">
        <v>872624</v>
      </c>
      <c r="J900" s="244"/>
      <c r="K900" s="7">
        <f t="shared" ref="K900" si="772">SUM(E900:I900)</f>
        <v>9508305</v>
      </c>
      <c r="L900" s="6"/>
      <c r="M900" s="438">
        <f t="shared" ref="M900" si="773">+(K900-K899)/K899</f>
        <v>3.7033978148900791E-4</v>
      </c>
      <c r="N900" s="29"/>
      <c r="O900" s="29"/>
      <c r="P900" s="29"/>
      <c r="Q900" s="332">
        <f t="shared" ref="Q900" si="774">+K900-K899</f>
        <v>3520</v>
      </c>
      <c r="R900" s="6"/>
      <c r="S900" s="7">
        <f>71012+34520+11197</f>
        <v>116729</v>
      </c>
      <c r="T900" s="6"/>
      <c r="U900" s="243">
        <v>2.402125115017657E-2</v>
      </c>
      <c r="W900">
        <f t="shared" si="467"/>
        <v>890</v>
      </c>
      <c r="Y900" s="56"/>
    </row>
    <row r="901" spans="3:25" x14ac:dyDescent="0.45">
      <c r="C901" s="158">
        <f t="shared" si="579"/>
        <v>44800</v>
      </c>
      <c r="E901" s="241">
        <v>5971180</v>
      </c>
      <c r="F901" s="7"/>
      <c r="G901" s="7">
        <v>2669786</v>
      </c>
      <c r="H901" s="581"/>
      <c r="I901" s="7">
        <v>873137</v>
      </c>
      <c r="J901" s="244"/>
      <c r="K901" s="7">
        <f t="shared" ref="K901" si="775">SUM(E901:I901)</f>
        <v>9514103</v>
      </c>
      <c r="L901" s="6"/>
      <c r="M901" s="438">
        <f t="shared" ref="M901" si="776">+(K901-K900)/K900</f>
        <v>6.0978271100895485E-4</v>
      </c>
      <c r="N901" s="29"/>
      <c r="O901" s="29"/>
      <c r="P901" s="29"/>
      <c r="Q901" s="332">
        <f t="shared" ref="Q901" si="777">+K901-K900</f>
        <v>5798</v>
      </c>
      <c r="R901" s="6"/>
      <c r="S901" s="7">
        <f>71012+34529+11197</f>
        <v>116738</v>
      </c>
      <c r="T901" s="6"/>
      <c r="U901" s="243">
        <v>2.402125115017657E-2</v>
      </c>
      <c r="W901">
        <f t="shared" si="467"/>
        <v>891</v>
      </c>
      <c r="Y901" s="56"/>
    </row>
    <row r="902" spans="3:25" x14ac:dyDescent="0.45">
      <c r="C902" s="347">
        <f t="shared" si="579"/>
        <v>44801</v>
      </c>
      <c r="E902" s="241">
        <v>5973533</v>
      </c>
      <c r="F902" s="7"/>
      <c r="G902" s="7">
        <v>2671559</v>
      </c>
      <c r="H902" s="581"/>
      <c r="I902" s="7">
        <v>873294</v>
      </c>
      <c r="J902" s="244"/>
      <c r="K902" s="7">
        <f t="shared" ref="K902" si="778">SUM(E902:I902)</f>
        <v>9518386</v>
      </c>
      <c r="L902" s="6"/>
      <c r="M902" s="438">
        <f t="shared" ref="M902" si="779">+(K902-K901)/K901</f>
        <v>4.5017381039494738E-4</v>
      </c>
      <c r="N902" s="29"/>
      <c r="O902" s="29"/>
      <c r="P902" s="29"/>
      <c r="Q902" s="332">
        <f t="shared" ref="Q902" si="780">+K902-K901</f>
        <v>4283</v>
      </c>
      <c r="R902" s="6"/>
      <c r="S902" s="7">
        <f>71012+34529+11197</f>
        <v>116738</v>
      </c>
      <c r="T902" s="6"/>
      <c r="U902" s="243">
        <v>2.402125115017657E-2</v>
      </c>
      <c r="W902">
        <f t="shared" si="467"/>
        <v>892</v>
      </c>
      <c r="Y902" s="56"/>
    </row>
    <row r="903" spans="3:25" x14ac:dyDescent="0.45">
      <c r="C903" s="158">
        <f t="shared" si="579"/>
        <v>44802</v>
      </c>
      <c r="E903" s="241">
        <v>5980715</v>
      </c>
      <c r="F903" s="7"/>
      <c r="G903" s="7">
        <v>2673004</v>
      </c>
      <c r="H903" s="581"/>
      <c r="I903" s="7">
        <v>873420</v>
      </c>
      <c r="J903" s="244"/>
      <c r="K903" s="7">
        <f t="shared" ref="K903" si="781">SUM(E903:I903)</f>
        <v>9527139</v>
      </c>
      <c r="L903" s="6"/>
      <c r="M903" s="438">
        <f t="shared" ref="M903" si="782">+(K903-K902)/K902</f>
        <v>9.195886781645544E-4</v>
      </c>
      <c r="N903" s="29"/>
      <c r="O903" s="29"/>
      <c r="P903" s="29"/>
      <c r="Q903" s="332">
        <f t="shared" ref="Q903" si="783">+K903-K902</f>
        <v>8753</v>
      </c>
      <c r="R903" s="6"/>
      <c r="S903" s="7">
        <f>71051+34532+11197</f>
        <v>116780</v>
      </c>
      <c r="T903" s="6"/>
      <c r="U903" s="243">
        <v>2.402125115017657E-2</v>
      </c>
      <c r="W903">
        <f t="shared" si="467"/>
        <v>893</v>
      </c>
      <c r="Y903" s="56"/>
    </row>
    <row r="904" spans="3:25" x14ac:dyDescent="0.45">
      <c r="C904" s="158">
        <f t="shared" si="579"/>
        <v>44803</v>
      </c>
      <c r="E904" s="241">
        <v>5980715</v>
      </c>
      <c r="F904" s="7"/>
      <c r="G904" s="7">
        <v>2673004</v>
      </c>
      <c r="H904" s="581"/>
      <c r="I904" s="7">
        <v>873420</v>
      </c>
      <c r="J904" s="244"/>
      <c r="K904" s="7">
        <f t="shared" ref="K904" si="784">SUM(E904:I904)</f>
        <v>9527139</v>
      </c>
      <c r="L904" s="6"/>
      <c r="M904" s="438">
        <f t="shared" ref="M904" si="785">+(K904-K903)/K903</f>
        <v>0</v>
      </c>
      <c r="N904" s="29"/>
      <c r="O904" s="29"/>
      <c r="P904" s="29"/>
      <c r="Q904" s="332">
        <f t="shared" ref="Q904" si="786">+K904-K903</f>
        <v>0</v>
      </c>
      <c r="R904" s="6"/>
      <c r="S904" s="7">
        <f>71051+34532+11197</f>
        <v>116780</v>
      </c>
      <c r="T904" s="6"/>
      <c r="U904" s="243">
        <v>2.402125115017657E-2</v>
      </c>
      <c r="W904">
        <f t="shared" si="467"/>
        <v>894</v>
      </c>
      <c r="Y904" s="56"/>
    </row>
    <row r="905" spans="3:25" x14ac:dyDescent="0.45">
      <c r="C905" s="158">
        <f t="shared" si="579"/>
        <v>44804</v>
      </c>
      <c r="E905" s="241">
        <v>5984464</v>
      </c>
      <c r="F905" s="7"/>
      <c r="G905" s="7">
        <v>2674635</v>
      </c>
      <c r="H905" s="581"/>
      <c r="I905" s="7">
        <v>874415</v>
      </c>
      <c r="J905" s="244"/>
      <c r="K905" s="7">
        <f t="shared" ref="K905" si="787">SUM(E905:I905)</f>
        <v>9533514</v>
      </c>
      <c r="L905" s="6"/>
      <c r="M905" s="438">
        <f t="shared" ref="M905" si="788">+(K905-K904)/K904</f>
        <v>6.6914107162706457E-4</v>
      </c>
      <c r="N905" s="29"/>
      <c r="O905" s="29"/>
      <c r="P905" s="29"/>
      <c r="Q905" s="332">
        <f t="shared" ref="Q905" si="789">+K905-K904</f>
        <v>6375</v>
      </c>
      <c r="R905" s="6"/>
      <c r="S905" s="7">
        <f>71095+34545+11259</f>
        <v>116899</v>
      </c>
      <c r="T905" s="6"/>
      <c r="U905" s="243">
        <v>2.402125115017657E-2</v>
      </c>
      <c r="W905">
        <f t="shared" si="467"/>
        <v>895</v>
      </c>
      <c r="Y905" s="56"/>
    </row>
    <row r="906" spans="3:25" x14ac:dyDescent="0.45">
      <c r="C906" s="158">
        <f t="shared" si="579"/>
        <v>44805</v>
      </c>
      <c r="E906" s="241">
        <v>5988384</v>
      </c>
      <c r="F906" s="7"/>
      <c r="G906" s="7">
        <v>2676932</v>
      </c>
      <c r="H906" s="581"/>
      <c r="I906" s="7">
        <v>875076</v>
      </c>
      <c r="J906" s="244"/>
      <c r="K906" s="7">
        <f t="shared" ref="K906" si="790">SUM(E906:I906)</f>
        <v>9540392</v>
      </c>
      <c r="L906" s="6"/>
      <c r="M906" s="438">
        <f t="shared" ref="M906" si="791">+(K906-K905)/K905</f>
        <v>7.2145485914217988E-4</v>
      </c>
      <c r="N906" s="29"/>
      <c r="O906" s="29"/>
      <c r="P906" s="29"/>
      <c r="Q906" s="332">
        <f t="shared" ref="Q906" si="792">+K906-K905</f>
        <v>6878</v>
      </c>
      <c r="R906" s="6"/>
      <c r="S906" s="7">
        <f>71124+34562+11269</f>
        <v>116955</v>
      </c>
      <c r="T906" s="6"/>
      <c r="U906" s="243">
        <v>2.402125115017657E-2</v>
      </c>
      <c r="W906">
        <f t="shared" si="467"/>
        <v>896</v>
      </c>
      <c r="Y906" s="56"/>
    </row>
    <row r="907" spans="3:25" x14ac:dyDescent="0.45">
      <c r="C907" s="158">
        <f t="shared" si="579"/>
        <v>44806</v>
      </c>
      <c r="E907" s="241">
        <v>5988384</v>
      </c>
      <c r="F907" s="7"/>
      <c r="G907" s="7">
        <v>2676932</v>
      </c>
      <c r="H907" s="581"/>
      <c r="I907" s="7">
        <v>875076</v>
      </c>
      <c r="J907" s="244"/>
      <c r="K907" s="7">
        <f t="shared" ref="K907" si="793">SUM(E907:I907)</f>
        <v>9540392</v>
      </c>
      <c r="L907" s="6"/>
      <c r="M907" s="438">
        <f t="shared" ref="M907" si="794">+(K907-K906)/K906</f>
        <v>0</v>
      </c>
      <c r="N907" s="29"/>
      <c r="O907" s="29"/>
      <c r="P907" s="29"/>
      <c r="Q907" s="332">
        <f t="shared" ref="Q907" si="795">+K907-K906</f>
        <v>0</v>
      </c>
      <c r="R907" s="6"/>
      <c r="S907" s="7">
        <f>71124+34562+11269</f>
        <v>116955</v>
      </c>
      <c r="T907" s="6"/>
      <c r="U907" s="243">
        <v>2.402125115017657E-2</v>
      </c>
      <c r="W907">
        <f t="shared" si="467"/>
        <v>897</v>
      </c>
      <c r="Y907" s="56"/>
    </row>
    <row r="908" spans="3:25" x14ac:dyDescent="0.45">
      <c r="C908" s="158">
        <f t="shared" si="579"/>
        <v>44807</v>
      </c>
      <c r="E908" s="241">
        <v>5988384</v>
      </c>
      <c r="F908" s="7"/>
      <c r="G908" s="7">
        <v>2676932</v>
      </c>
      <c r="H908" s="581"/>
      <c r="I908" s="7">
        <v>875076</v>
      </c>
      <c r="J908" s="244"/>
      <c r="K908" s="7">
        <f t="shared" ref="K908" si="796">SUM(E908:I908)</f>
        <v>9540392</v>
      </c>
      <c r="L908" s="6"/>
      <c r="M908" s="438">
        <f t="shared" ref="M908" si="797">+(K908-K907)/K907</f>
        <v>0</v>
      </c>
      <c r="N908" s="29"/>
      <c r="O908" s="29"/>
      <c r="P908" s="29"/>
      <c r="Q908" s="332">
        <f t="shared" ref="Q908" si="798">+K908-K907</f>
        <v>0</v>
      </c>
      <c r="R908" s="6"/>
      <c r="S908" s="7">
        <f>71124+34562+11269</f>
        <v>116955</v>
      </c>
      <c r="T908" s="6"/>
      <c r="U908" s="243">
        <v>2.402125115017657E-2</v>
      </c>
      <c r="W908">
        <f t="shared" si="467"/>
        <v>898</v>
      </c>
      <c r="Y908" s="56"/>
    </row>
    <row r="909" spans="3:25" x14ac:dyDescent="0.45">
      <c r="C909" s="347">
        <f t="shared" si="579"/>
        <v>44808</v>
      </c>
      <c r="E909" s="241">
        <v>5988384</v>
      </c>
      <c r="F909" s="7"/>
      <c r="G909" s="7">
        <v>2676932</v>
      </c>
      <c r="H909" s="581"/>
      <c r="I909" s="7">
        <v>875076</v>
      </c>
      <c r="J909" s="244"/>
      <c r="K909" s="7">
        <f t="shared" ref="K909" si="799">SUM(E909:I909)</f>
        <v>9540392</v>
      </c>
      <c r="L909" s="6"/>
      <c r="M909" s="438">
        <f t="shared" ref="M909" si="800">+(K909-K908)/K908</f>
        <v>0</v>
      </c>
      <c r="N909" s="29"/>
      <c r="O909" s="29"/>
      <c r="P909" s="29"/>
      <c r="Q909" s="332">
        <f t="shared" ref="Q909" si="801">+K909-K908</f>
        <v>0</v>
      </c>
      <c r="R909" s="6"/>
      <c r="S909" s="7">
        <f>71124+34562+11269</f>
        <v>116955</v>
      </c>
      <c r="T909" s="6"/>
      <c r="U909" s="243">
        <v>2.402125115017657E-2</v>
      </c>
      <c r="W909">
        <f t="shared" si="467"/>
        <v>899</v>
      </c>
      <c r="Y909" s="56"/>
    </row>
    <row r="910" spans="3:25" x14ac:dyDescent="0.45">
      <c r="C910" s="158">
        <f t="shared" si="579"/>
        <v>44809</v>
      </c>
      <c r="E910" s="241"/>
      <c r="F910" s="7"/>
      <c r="G910" s="7"/>
      <c r="H910" s="581"/>
      <c r="I910" s="7"/>
      <c r="J910" s="244"/>
      <c r="K910" s="7"/>
      <c r="L910" s="6"/>
      <c r="M910" s="438"/>
      <c r="N910" s="29"/>
      <c r="O910" s="29"/>
      <c r="P910" s="29"/>
      <c r="Q910" s="332"/>
      <c r="R910" s="6"/>
      <c r="S910" s="7"/>
      <c r="T910" s="6"/>
      <c r="U910" s="243"/>
      <c r="Y910" s="56"/>
    </row>
    <row r="911" spans="3:25" x14ac:dyDescent="0.45">
      <c r="C911" s="158">
        <f t="shared" si="579"/>
        <v>44810</v>
      </c>
      <c r="E911" s="241"/>
      <c r="F911" s="7"/>
      <c r="G911" s="7"/>
      <c r="H911" s="581"/>
      <c r="I911" s="7"/>
      <c r="J911" s="244"/>
      <c r="K911" s="7"/>
      <c r="L911" s="6"/>
      <c r="M911" s="438"/>
      <c r="N911" s="29"/>
      <c r="O911" s="29"/>
      <c r="P911" s="29"/>
      <c r="Q911" s="332"/>
      <c r="R911" s="6"/>
      <c r="S911" s="7"/>
      <c r="T911" s="6"/>
      <c r="U911" s="243"/>
      <c r="Y911" s="56"/>
    </row>
    <row r="912" spans="3:25" x14ac:dyDescent="0.45">
      <c r="C912" s="158">
        <f t="shared" si="579"/>
        <v>44811</v>
      </c>
      <c r="E912" s="241"/>
      <c r="F912" s="7"/>
      <c r="G912" s="7"/>
      <c r="H912" s="7"/>
      <c r="I912" s="7"/>
      <c r="J912" s="244"/>
      <c r="K912" s="7"/>
      <c r="L912" s="6"/>
      <c r="M912" s="438"/>
      <c r="N912" s="29"/>
      <c r="O912" s="29"/>
      <c r="P912" s="29"/>
      <c r="Q912" s="332"/>
      <c r="R912" s="6"/>
      <c r="S912" s="7"/>
      <c r="T912" s="6"/>
      <c r="U912" s="243"/>
      <c r="Y912" s="56"/>
    </row>
    <row r="913" spans="3:41" ht="14.65" thickBot="1" x14ac:dyDescent="0.5">
      <c r="C913" s="158">
        <f t="shared" si="579"/>
        <v>44812</v>
      </c>
      <c r="E913" s="245"/>
      <c r="F913" s="246"/>
      <c r="G913" s="246"/>
      <c r="H913" s="246"/>
      <c r="I913" s="246"/>
      <c r="J913" s="246"/>
      <c r="K913" s="246"/>
      <c r="L913" s="247"/>
      <c r="M913" s="248"/>
      <c r="N913" s="248"/>
      <c r="O913" s="248"/>
      <c r="P913" s="248"/>
      <c r="Q913" s="331"/>
      <c r="R913" s="247"/>
      <c r="S913" s="247"/>
      <c r="T913" s="247"/>
      <c r="U913" s="249"/>
      <c r="W913">
        <f>+W405+1</f>
        <v>396</v>
      </c>
      <c r="Y913" s="59"/>
    </row>
    <row r="914" spans="3:41" x14ac:dyDescent="0.45">
      <c r="E914" s="56"/>
      <c r="F914" s="1"/>
      <c r="G914" s="56"/>
      <c r="H914" s="56"/>
      <c r="I914" s="56"/>
      <c r="J914" s="1"/>
      <c r="K914" s="56"/>
      <c r="S914" s="56"/>
    </row>
    <row r="915" spans="3:41" x14ac:dyDescent="0.45">
      <c r="C915" s="166" t="s">
        <v>73</v>
      </c>
      <c r="E915" s="56">
        <f>+E909</f>
        <v>5988384</v>
      </c>
      <c r="F915" s="56"/>
      <c r="G915" s="56">
        <f t="shared" ref="G915:U915" si="802">+G909</f>
        <v>2676932</v>
      </c>
      <c r="H915" s="56">
        <f t="shared" si="802"/>
        <v>0</v>
      </c>
      <c r="I915" s="56">
        <f t="shared" si="802"/>
        <v>875076</v>
      </c>
      <c r="J915" s="56">
        <f t="shared" si="802"/>
        <v>0</v>
      </c>
      <c r="K915" s="56">
        <f t="shared" si="802"/>
        <v>9540392</v>
      </c>
      <c r="L915" s="56">
        <f t="shared" si="802"/>
        <v>0</v>
      </c>
      <c r="M915" s="56">
        <f t="shared" si="802"/>
        <v>0</v>
      </c>
      <c r="N915" s="56">
        <f t="shared" si="802"/>
        <v>0</v>
      </c>
      <c r="O915" s="56">
        <f t="shared" si="802"/>
        <v>0</v>
      </c>
      <c r="P915" s="56">
        <f t="shared" si="802"/>
        <v>0</v>
      </c>
      <c r="Q915" s="56">
        <f t="shared" si="802"/>
        <v>0</v>
      </c>
      <c r="R915" s="56">
        <f t="shared" si="802"/>
        <v>0</v>
      </c>
      <c r="S915" s="56">
        <f t="shared" si="802"/>
        <v>116955</v>
      </c>
      <c r="T915" s="56">
        <f t="shared" si="802"/>
        <v>0</v>
      </c>
      <c r="U915" s="56">
        <f t="shared" si="802"/>
        <v>2.402125115017657E-2</v>
      </c>
      <c r="V915" s="56">
        <f>+V259</f>
        <v>0</v>
      </c>
    </row>
    <row r="916" spans="3:41" x14ac:dyDescent="0.45">
      <c r="E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</row>
    <row r="917" spans="3:41" x14ac:dyDescent="0.45">
      <c r="E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3:41" x14ac:dyDescent="0.45">
      <c r="C918" s="111"/>
      <c r="D918" s="112"/>
      <c r="E918" s="349"/>
      <c r="F918" s="10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</row>
    <row r="919" spans="3:41" x14ac:dyDescent="0.45">
      <c r="E919" s="56"/>
      <c r="K919" s="56"/>
      <c r="Q919" s="56"/>
    </row>
    <row r="920" spans="3:41" x14ac:dyDescent="0.45">
      <c r="D920" s="549" t="s">
        <v>26</v>
      </c>
      <c r="E920" t="s">
        <v>158</v>
      </c>
      <c r="K920" s="549"/>
      <c r="M920" s="549"/>
      <c r="Q920" s="56"/>
      <c r="S920" s="59"/>
    </row>
    <row r="922" spans="3:41" x14ac:dyDescent="0.45">
      <c r="U922" s="549"/>
    </row>
    <row r="923" spans="3:41" x14ac:dyDescent="0.45">
      <c r="AO923" s="1">
        <v>3797000</v>
      </c>
    </row>
    <row r="924" spans="3:41" x14ac:dyDescent="0.45">
      <c r="C924" s="1"/>
    </row>
    <row r="925" spans="3:41" x14ac:dyDescent="0.45">
      <c r="C925" s="1"/>
      <c r="AO925" s="1">
        <v>30000</v>
      </c>
    </row>
    <row r="926" spans="3:41" x14ac:dyDescent="0.45">
      <c r="C926" s="59"/>
    </row>
    <row r="927" spans="3:41" x14ac:dyDescent="0.45">
      <c r="AO927" s="235">
        <f>+AO925/AO923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905"/>
  <sheetViews>
    <sheetView topLeftCell="A830" workbookViewId="0">
      <selection activeCell="AG867" sqref="AG867"/>
    </sheetView>
  </sheetViews>
  <sheetFormatPr defaultRowHeight="14.25" outlineLevelRow="1" x14ac:dyDescent="0.45"/>
  <cols>
    <col min="1" max="1" width="2.53125" customWidth="1"/>
    <col min="2" max="2" width="3.86328125" customWidth="1"/>
    <col min="3" max="3" width="3.19921875" customWidth="1"/>
    <col min="4" max="4" width="2" customWidth="1"/>
    <col min="5" max="5" width="3.6640625" customWidth="1"/>
    <col min="6" max="6" width="13.796875" customWidth="1"/>
    <col min="9" max="9" width="11.53125" customWidth="1"/>
    <col min="10" max="10" width="2.6640625" customWidth="1"/>
    <col min="11" max="11" width="3.06640625" customWidth="1"/>
    <col min="13" max="13" width="2.46484375" customWidth="1"/>
    <col min="15" max="15" width="2" customWidth="1"/>
    <col min="16" max="16" width="9.6640625" bestFit="1" customWidth="1"/>
    <col min="17" max="17" width="1.46484375" customWidth="1"/>
    <col min="18" max="18" width="16.796875" customWidth="1"/>
    <col min="19" max="19" width="2" customWidth="1"/>
    <col min="20" max="20" width="2.33203125" customWidth="1"/>
    <col min="21" max="21" width="9.06640625" bestFit="1" customWidth="1"/>
    <col min="22" max="22" width="2.19921875" customWidth="1"/>
    <col min="23" max="23" width="14.6640625" bestFit="1" customWidth="1"/>
    <col min="24" max="24" width="1.86328125" customWidth="1"/>
    <col min="25" max="25" width="10.06640625" bestFit="1" customWidth="1"/>
    <col min="26" max="26" width="2" customWidth="1"/>
    <col min="27" max="27" width="11.06640625" bestFit="1" customWidth="1"/>
    <col min="28" max="28" width="2.33203125" customWidth="1"/>
    <col min="29" max="29" width="1.86328125" customWidth="1"/>
    <col min="30" max="30" width="2.46484375" customWidth="1"/>
    <col min="36" max="36" width="11.46484375" customWidth="1"/>
  </cols>
  <sheetData>
    <row r="1" spans="2:30" ht="15.75" x14ac:dyDescent="0.5">
      <c r="B1" s="216" t="s">
        <v>5</v>
      </c>
      <c r="C1" s="216"/>
      <c r="D1" s="216"/>
    </row>
    <row r="2" spans="2:30" ht="16.149999999999999" thickBot="1" x14ac:dyDescent="0.55000000000000004">
      <c r="B2" s="216" t="s">
        <v>6</v>
      </c>
      <c r="C2" s="216"/>
      <c r="D2" s="216"/>
    </row>
    <row r="3" spans="2:30" ht="16.149999999999999" thickBot="1" x14ac:dyDescent="0.55000000000000004">
      <c r="B3" s="215" t="s">
        <v>13</v>
      </c>
      <c r="C3" s="215"/>
      <c r="D3" s="153"/>
      <c r="T3" s="716" t="s">
        <v>101</v>
      </c>
      <c r="U3" s="717"/>
      <c r="V3" s="717"/>
      <c r="W3" s="717"/>
      <c r="X3" s="717"/>
      <c r="Y3" s="717"/>
      <c r="Z3" s="717"/>
      <c r="AA3" s="717"/>
      <c r="AB3" s="717"/>
      <c r="AC3" s="717"/>
      <c r="AD3" s="718"/>
    </row>
    <row r="4" spans="2:30" ht="15.75" x14ac:dyDescent="0.5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75" x14ac:dyDescent="0.5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75" x14ac:dyDescent="0.5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75" x14ac:dyDescent="0.5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75" x14ac:dyDescent="0.5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75" x14ac:dyDescent="0.5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75" x14ac:dyDescent="0.5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75" x14ac:dyDescent="0.5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75" x14ac:dyDescent="0.5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6.6613799832699536E-3</v>
      </c>
      <c r="Z12" s="6"/>
      <c r="AA12" s="254">
        <f t="shared" si="0"/>
        <v>1046</v>
      </c>
      <c r="AB12" s="6"/>
      <c r="AC12" s="258"/>
      <c r="AD12" s="251"/>
    </row>
    <row r="13" spans="2:30" ht="15.75" x14ac:dyDescent="0.5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75" x14ac:dyDescent="0.5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45">
      <c r="B15" s="215"/>
      <c r="E15" s="719" t="s">
        <v>91</v>
      </c>
      <c r="F15" s="719"/>
      <c r="G15" s="719"/>
      <c r="H15" s="719"/>
      <c r="I15" s="719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45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4.65" thickBot="1" x14ac:dyDescent="0.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4.65" thickBot="1" x14ac:dyDescent="0.5">
      <c r="C18" s="1"/>
      <c r="D18" s="725" t="s">
        <v>44</v>
      </c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7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4.65" thickBot="1" x14ac:dyDescent="0.5">
      <c r="C19" s="1"/>
      <c r="D19" s="133"/>
      <c r="E19" s="728" t="s">
        <v>67</v>
      </c>
      <c r="F19" s="728"/>
      <c r="G19" s="728"/>
      <c r="H19" s="728"/>
      <c r="I19" s="134" t="s">
        <v>66</v>
      </c>
      <c r="J19" s="135"/>
      <c r="K19" s="733" t="s">
        <v>64</v>
      </c>
      <c r="L19" s="733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45">
      <c r="C20" s="1"/>
      <c r="D20" s="113"/>
      <c r="E20" s="114" t="s">
        <v>157</v>
      </c>
      <c r="F20" s="115"/>
      <c r="G20" s="114"/>
      <c r="H20" s="114"/>
      <c r="I20" s="81">
        <f>+'Main Table'!H897</f>
        <v>80019203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45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Table'!AA915</f>
        <v>916968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45">
      <c r="C22" s="1"/>
      <c r="D22" s="113"/>
      <c r="E22" s="114"/>
      <c r="F22" s="114" t="s">
        <v>43</v>
      </c>
      <c r="G22" s="114"/>
      <c r="H22" s="114"/>
      <c r="I22" s="146">
        <v>3713</v>
      </c>
      <c r="J22" s="116"/>
      <c r="K22" s="127"/>
      <c r="L22" s="238">
        <v>3816</v>
      </c>
      <c r="M22" s="127"/>
      <c r="N22" s="147">
        <f>+(I22-L22)/I22</f>
        <v>-2.774037166711554E-2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45">
      <c r="C23" s="1"/>
      <c r="D23" s="113"/>
      <c r="E23" s="114"/>
      <c r="F23" s="124" t="s">
        <v>62</v>
      </c>
      <c r="G23" s="124"/>
      <c r="H23" s="124"/>
      <c r="I23" s="117">
        <f>+I20-I21-I22</f>
        <v>79098522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45">
      <c r="C24" s="1"/>
      <c r="D24" s="113"/>
      <c r="E24" s="114" t="s">
        <v>69</v>
      </c>
      <c r="F24" s="116"/>
      <c r="G24" s="116"/>
      <c r="H24" s="116"/>
      <c r="I24" s="118">
        <f>+'Main Table'!AP915</f>
        <v>92494183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45">
      <c r="C25" s="1"/>
      <c r="D25" s="729" t="s">
        <v>47</v>
      </c>
      <c r="E25" s="730"/>
      <c r="F25" s="730"/>
      <c r="G25" s="730"/>
      <c r="H25" s="730"/>
      <c r="I25" s="119">
        <f>+I23-I24</f>
        <v>-13395661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45">
      <c r="C26" s="1"/>
      <c r="D26" s="113"/>
      <c r="E26" s="114" t="s">
        <v>63</v>
      </c>
      <c r="F26" s="116"/>
      <c r="G26" s="116"/>
      <c r="H26" s="116"/>
      <c r="I26" s="118">
        <f>+I24</f>
        <v>92494183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4.65" thickBot="1" x14ac:dyDescent="0.5">
      <c r="C27" s="1"/>
      <c r="D27" s="729" t="s">
        <v>44</v>
      </c>
      <c r="E27" s="730"/>
      <c r="F27" s="730"/>
      <c r="G27" s="730"/>
      <c r="H27" s="730"/>
      <c r="I27" s="136">
        <f>+I25+I26</f>
        <v>79098522</v>
      </c>
      <c r="J27" s="116"/>
      <c r="K27" s="734">
        <v>79016897</v>
      </c>
      <c r="L27" s="734"/>
      <c r="M27" s="127"/>
      <c r="N27" s="137">
        <f>+I27-K27</f>
        <v>81625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" thickTop="1" thickBot="1" x14ac:dyDescent="0.5">
      <c r="C28" s="10"/>
      <c r="D28" s="122"/>
      <c r="E28" s="731" t="s">
        <v>61</v>
      </c>
      <c r="F28" s="731"/>
      <c r="G28" s="731"/>
      <c r="H28" s="124"/>
      <c r="I28" s="232">
        <f>+I27/I32</f>
        <v>0.98195507755864475</v>
      </c>
      <c r="J28" s="127"/>
      <c r="K28" s="127"/>
      <c r="L28" s="127"/>
      <c r="M28" s="98"/>
      <c r="N28" s="463">
        <f>+N27/K27</f>
        <v>1.0330069023085024E-3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" thickTop="1" thickBot="1" x14ac:dyDescent="0.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4.65" thickBot="1" x14ac:dyDescent="0.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149999999999999" thickBot="1" x14ac:dyDescent="0.55000000000000004">
      <c r="C31" s="78"/>
      <c r="D31" s="230"/>
      <c r="E31" s="710" t="s">
        <v>101</v>
      </c>
      <c r="F31" s="711"/>
      <c r="G31" s="711"/>
      <c r="H31" s="711"/>
      <c r="I31" s="711"/>
      <c r="J31" s="712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45">
      <c r="C32" s="10"/>
      <c r="D32" s="217"/>
      <c r="E32" s="218" t="s">
        <v>75</v>
      </c>
      <c r="F32" s="24"/>
      <c r="G32" s="24"/>
      <c r="H32" s="24"/>
      <c r="I32" s="705">
        <f>+'Main Table'!H915</f>
        <v>80552078</v>
      </c>
      <c r="J32" s="705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45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45">
      <c r="D34" s="220"/>
      <c r="E34" s="22"/>
      <c r="F34" s="221" t="s">
        <v>100</v>
      </c>
      <c r="G34" s="221"/>
      <c r="H34" s="22"/>
      <c r="I34" s="706">
        <f>+I27</f>
        <v>79098522</v>
      </c>
      <c r="J34" s="707"/>
      <c r="K34" s="22"/>
      <c r="L34" s="25">
        <f>+I34/$I$32</f>
        <v>0.98195507755864475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45">
      <c r="D35" s="220"/>
      <c r="E35" s="22"/>
      <c r="F35" s="22" t="s">
        <v>76</v>
      </c>
      <c r="G35" s="22"/>
      <c r="H35" s="22"/>
      <c r="I35" s="713">
        <f>+I21</f>
        <v>916968</v>
      </c>
      <c r="J35" s="714"/>
      <c r="K35" s="22"/>
      <c r="L35" s="25">
        <f>+I35/$I$32</f>
        <v>1.1383542458085314E-2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4.65" thickBot="1" x14ac:dyDescent="0.5">
      <c r="D36" s="220"/>
      <c r="E36" s="732" t="s">
        <v>101</v>
      </c>
      <c r="F36" s="732"/>
      <c r="G36" s="732"/>
      <c r="H36" s="233"/>
      <c r="I36" s="708">
        <f>+I32-I34-I35</f>
        <v>536588</v>
      </c>
      <c r="J36" s="709"/>
      <c r="K36" s="259"/>
      <c r="L36" s="234">
        <f>+I36/$I$32</f>
        <v>6.6613799832699536E-3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" thickTop="1" thickBot="1" x14ac:dyDescent="0.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45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45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4.65" thickBot="1" x14ac:dyDescent="0.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4.65" thickBot="1" x14ac:dyDescent="0.5">
      <c r="D41" s="720" t="s">
        <v>114</v>
      </c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2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4.65" thickBot="1" x14ac:dyDescent="0.5">
      <c r="D42" s="277"/>
      <c r="E42" s="723" t="s">
        <v>67</v>
      </c>
      <c r="F42" s="723"/>
      <c r="G42" s="723"/>
      <c r="H42" s="723"/>
      <c r="I42" s="260" t="s">
        <v>66</v>
      </c>
      <c r="J42" s="261"/>
      <c r="K42" s="724" t="s">
        <v>35</v>
      </c>
      <c r="L42" s="724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45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45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45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45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45">
      <c r="D47" s="279"/>
      <c r="E47" s="264" t="s">
        <v>69</v>
      </c>
      <c r="F47" s="266"/>
      <c r="G47" s="266"/>
      <c r="H47" s="266"/>
      <c r="I47" s="338">
        <f>+'Main Table'!AP932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45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45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4.65" thickBot="1" x14ac:dyDescent="0.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" thickTop="1" thickBot="1" x14ac:dyDescent="0.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" thickTop="1" thickBot="1" x14ac:dyDescent="0.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4.65" thickBot="1" x14ac:dyDescent="0.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149999999999999" thickBot="1" x14ac:dyDescent="0.55000000000000004">
      <c r="D54" s="317"/>
      <c r="E54" s="693" t="s">
        <v>115</v>
      </c>
      <c r="F54" s="694"/>
      <c r="G54" s="694"/>
      <c r="H54" s="694"/>
      <c r="I54" s="694"/>
      <c r="J54" s="695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45">
      <c r="D55" s="279"/>
      <c r="E55" s="311" t="s">
        <v>75</v>
      </c>
      <c r="F55" s="266"/>
      <c r="G55" s="266"/>
      <c r="H55" s="266"/>
      <c r="I55" s="696">
        <f>+K50</f>
        <v>30167</v>
      </c>
      <c r="J55" s="696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45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45">
      <c r="D57" s="270"/>
      <c r="E57" s="267"/>
      <c r="F57" s="313" t="s">
        <v>100</v>
      </c>
      <c r="G57" s="313"/>
      <c r="H57" s="267"/>
      <c r="I57" s="697">
        <f>+I50</f>
        <v>22172</v>
      </c>
      <c r="J57" s="698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45">
      <c r="D58" s="270"/>
      <c r="E58" s="267"/>
      <c r="F58" s="267" t="s">
        <v>76</v>
      </c>
      <c r="G58" s="267"/>
      <c r="H58" s="267"/>
      <c r="I58" s="699">
        <f>+I44</f>
        <v>1836</v>
      </c>
      <c r="J58" s="700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4.65" thickBot="1" x14ac:dyDescent="0.5">
      <c r="D59" s="270"/>
      <c r="E59" s="701" t="s">
        <v>101</v>
      </c>
      <c r="F59" s="701"/>
      <c r="G59" s="701"/>
      <c r="H59" s="267"/>
      <c r="I59" s="702">
        <f>+I55-I57-I58</f>
        <v>6159</v>
      </c>
      <c r="J59" s="703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4.65" thickTop="1" x14ac:dyDescent="0.45">
      <c r="D60" s="270"/>
      <c r="E60" s="424"/>
      <c r="F60" s="424" t="s">
        <v>116</v>
      </c>
      <c r="G60" s="424"/>
      <c r="H60" s="267"/>
      <c r="I60" s="704">
        <f>+I45</f>
        <v>1397</v>
      </c>
      <c r="J60" s="704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4.65" thickBot="1" x14ac:dyDescent="0.5">
      <c r="D61" s="270"/>
      <c r="E61" s="333"/>
      <c r="F61" s="333" t="s">
        <v>117</v>
      </c>
      <c r="G61" s="333"/>
      <c r="H61" s="267"/>
      <c r="I61" s="702">
        <f>+I59-I60</f>
        <v>4762</v>
      </c>
      <c r="J61" s="702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" thickTop="1" thickBot="1" x14ac:dyDescent="0.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4.65" thickBot="1" x14ac:dyDescent="0.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4.65" thickBot="1" x14ac:dyDescent="0.5">
      <c r="E64" s="693" t="s">
        <v>104</v>
      </c>
      <c r="F64" s="694"/>
      <c r="G64" s="694"/>
      <c r="H64" s="694"/>
      <c r="I64" s="694"/>
      <c r="J64" s="694"/>
      <c r="K64" s="694"/>
      <c r="L64" s="694"/>
      <c r="M64" s="695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45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45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45">
      <c r="E67" s="322"/>
      <c r="F67" s="715" t="s">
        <v>95</v>
      </c>
      <c r="G67" s="715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4.65" thickBot="1" x14ac:dyDescent="0.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45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45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4.65" thickBot="1" x14ac:dyDescent="0.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4.65" thickBot="1" x14ac:dyDescent="0.5">
      <c r="D72" s="663" t="s">
        <v>118</v>
      </c>
      <c r="E72" s="664"/>
      <c r="F72" s="664"/>
      <c r="G72" s="664"/>
      <c r="H72" s="664"/>
      <c r="I72" s="664"/>
      <c r="J72" s="664"/>
      <c r="K72" s="664"/>
      <c r="L72" s="664"/>
      <c r="M72" s="664"/>
      <c r="N72" s="664"/>
      <c r="O72" s="665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4.65" thickBot="1" x14ac:dyDescent="0.5">
      <c r="D73" s="354"/>
      <c r="E73" s="666" t="s">
        <v>67</v>
      </c>
      <c r="F73" s="666"/>
      <c r="G73" s="666"/>
      <c r="H73" s="666"/>
      <c r="I73" s="355" t="s">
        <v>66</v>
      </c>
      <c r="J73" s="356"/>
      <c r="K73" s="667" t="s">
        <v>35</v>
      </c>
      <c r="L73" s="667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45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45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45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45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45">
      <c r="D78" s="360"/>
      <c r="E78" s="361" t="s">
        <v>69</v>
      </c>
      <c r="F78" s="16"/>
      <c r="G78" s="16"/>
      <c r="H78" s="16"/>
      <c r="I78" s="366">
        <f>+'Main Table'!AP973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45">
      <c r="D79" s="668" t="s">
        <v>47</v>
      </c>
      <c r="E79" s="669"/>
      <c r="F79" s="669"/>
      <c r="G79" s="669"/>
      <c r="H79" s="669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45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4.65" thickBot="1" x14ac:dyDescent="0.5">
      <c r="D81" s="668" t="s">
        <v>44</v>
      </c>
      <c r="E81" s="669"/>
      <c r="F81" s="669"/>
      <c r="G81" s="669"/>
      <c r="H81" s="669"/>
      <c r="I81" s="370">
        <f>+I79+I80</f>
        <v>36684</v>
      </c>
      <c r="J81" s="363"/>
      <c r="K81" s="671">
        <v>48675</v>
      </c>
      <c r="L81" s="671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" thickTop="1" thickBot="1" x14ac:dyDescent="0.5">
      <c r="D82" s="372"/>
      <c r="E82" s="670" t="s">
        <v>61</v>
      </c>
      <c r="F82" s="670"/>
      <c r="G82" s="670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" thickTop="1" thickBot="1" x14ac:dyDescent="0.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45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45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45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45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45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45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45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45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45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45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45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45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45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45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45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45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45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45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45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45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45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45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45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45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45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45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45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45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45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45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45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45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45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45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45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45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45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45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6.6613799832699536E-3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45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45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45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45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45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45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45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45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45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45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45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45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45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45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45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45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45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45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45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45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45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45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45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45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45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45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45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45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45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45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45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45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45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45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45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45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45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45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45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45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45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45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45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45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45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45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45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45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45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45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45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45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45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45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45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45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45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45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45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45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45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45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45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45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45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45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45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45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45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45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45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45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45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45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45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45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45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45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45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45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45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45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45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45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45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45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45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45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45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45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45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45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45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6.6613799832699536E-3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45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45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45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45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45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45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45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45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45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45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45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45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45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45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45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45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45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45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45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45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45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45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45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45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45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45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45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45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45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45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6.6613799832699536E-3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45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45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45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45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45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45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45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45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45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45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45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45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45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45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45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45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45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45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45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45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45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45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45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45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45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45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45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45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45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45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45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45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45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45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45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45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45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45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45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45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45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45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45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45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45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45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45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45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45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45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45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45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45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45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45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45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45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45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45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45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45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45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45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45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45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45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45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45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45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45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45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45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45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45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45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45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45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45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45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45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45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45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45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45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45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45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45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45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45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45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45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45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45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45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45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45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45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45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45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45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45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45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45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45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45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45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6.6613799832699536E-3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45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45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45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45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45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45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45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45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45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45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45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45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45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45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45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45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45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45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45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45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45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45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45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45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45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45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45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45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45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45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45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45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45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45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45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45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45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45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45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45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45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45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45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45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45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45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45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45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45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45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45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45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45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45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45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45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45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45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45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45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45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45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45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45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45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45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45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45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45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45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45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45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45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45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45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45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45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45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45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45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45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45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45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45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45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45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45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45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45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45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45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45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45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45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45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45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45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45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45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45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45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45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45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45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45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45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45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45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45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45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45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45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45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45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45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45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45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45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45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45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45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45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45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45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45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45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45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45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45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45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45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45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45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45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45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45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45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45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45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45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45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45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45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45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45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45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45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45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45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45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45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45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45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45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45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45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45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45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45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45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45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45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45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45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45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45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45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45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45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45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45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45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45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45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45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45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45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45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45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45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45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45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45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45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45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45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45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45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45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45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45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45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45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45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45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45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45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45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45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45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45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45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45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45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45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45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45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45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45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45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45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45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45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45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45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45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45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45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45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45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45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45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45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45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45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45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45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45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45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45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45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45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45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45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45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45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45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45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45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45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45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45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45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45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45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45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45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45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45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45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45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45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45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45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45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45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45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45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45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45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45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45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45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45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45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45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45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45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45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45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45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45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45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45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45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45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45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45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45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45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45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45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45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45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45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45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45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45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45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45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45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45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45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45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45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45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45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45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45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45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45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45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45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45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45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45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45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45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45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45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45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45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45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45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45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45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45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45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45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45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45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45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45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45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45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45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45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45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45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45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45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45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45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45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45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45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45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45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45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45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45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45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45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45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45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45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45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45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45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45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45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45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45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45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45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45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45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45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45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45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45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45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45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45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45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45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45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45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45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45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45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45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45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45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45">
      <c r="O725" s="98"/>
      <c r="T725" s="250"/>
      <c r="U725" s="252">
        <f t="shared" ref="U725:U744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45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45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45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45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45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45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45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45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45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45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45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45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45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45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45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45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45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45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45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45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45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45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45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45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45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45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45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45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45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45">
      <c r="O755" s="98"/>
      <c r="T755" s="250"/>
      <c r="U755" s="252">
        <f t="shared" ref="U755:U818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45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45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45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45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45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45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45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45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45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45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45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45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45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2" x14ac:dyDescent="0.45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2" x14ac:dyDescent="0.45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2" x14ac:dyDescent="0.45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2" x14ac:dyDescent="0.45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2" x14ac:dyDescent="0.45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2" x14ac:dyDescent="0.45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2" x14ac:dyDescent="0.45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2" x14ac:dyDescent="0.45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2" x14ac:dyDescent="0.45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  <c r="AE777" s="56">
        <f>+W777-W807</f>
        <v>149471</v>
      </c>
      <c r="AF777" s="59">
        <f>+AE777/W777</f>
        <v>0.16966157583187191</v>
      </c>
    </row>
    <row r="778" spans="15:32" x14ac:dyDescent="0.45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2" x14ac:dyDescent="0.45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2" x14ac:dyDescent="0.45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2" x14ac:dyDescent="0.45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2" x14ac:dyDescent="0.45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2" x14ac:dyDescent="0.45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2" x14ac:dyDescent="0.45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2" x14ac:dyDescent="0.45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2" x14ac:dyDescent="0.45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2" x14ac:dyDescent="0.45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2" x14ac:dyDescent="0.45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2" x14ac:dyDescent="0.45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2" x14ac:dyDescent="0.45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2" x14ac:dyDescent="0.45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2" x14ac:dyDescent="0.45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2" x14ac:dyDescent="0.45">
      <c r="O793" s="98"/>
      <c r="T793" s="250"/>
      <c r="U793" s="573">
        <f t="shared" si="157"/>
        <v>44738</v>
      </c>
      <c r="V793" s="6"/>
      <c r="W793" s="580"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  <c r="AE793" s="56">
        <f>+W793-W807</f>
        <v>70751</v>
      </c>
      <c r="AF793" s="59">
        <f>+AE793/W793</f>
        <v>8.8187965473185623E-2</v>
      </c>
    </row>
    <row r="794" spans="15:32" x14ac:dyDescent="0.45">
      <c r="O794" s="98"/>
      <c r="T794" s="250"/>
      <c r="U794" s="252">
        <f t="shared" si="157"/>
        <v>44739</v>
      </c>
      <c r="V794" s="6"/>
      <c r="W794" s="580">
        <v>755667</v>
      </c>
      <c r="X794" s="581"/>
      <c r="Y794" s="44">
        <v>3.0000000000000001E-3</v>
      </c>
      <c r="Z794" s="581"/>
      <c r="AA794" s="582">
        <f t="shared" ref="AA794" si="197">+W793-W794</f>
        <v>46608</v>
      </c>
      <c r="AB794" s="581"/>
      <c r="AC794" s="583"/>
      <c r="AD794" s="251"/>
    </row>
    <row r="795" spans="15:32" x14ac:dyDescent="0.45">
      <c r="O795" s="98"/>
      <c r="T795" s="250"/>
      <c r="U795" s="252">
        <f t="shared" si="157"/>
        <v>44740</v>
      </c>
      <c r="V795" s="6"/>
      <c r="W795" s="580">
        <v>741719</v>
      </c>
      <c r="X795" s="581"/>
      <c r="Y795" s="44">
        <v>3.0000000000000001E-3</v>
      </c>
      <c r="Z795" s="581"/>
      <c r="AA795" s="582">
        <f t="shared" ref="AA795" si="198">+W794-W795</f>
        <v>13948</v>
      </c>
      <c r="AB795" s="581"/>
      <c r="AC795" s="583"/>
      <c r="AD795" s="251"/>
    </row>
    <row r="796" spans="15:32" x14ac:dyDescent="0.45">
      <c r="O796" s="98"/>
      <c r="T796" s="250"/>
      <c r="U796" s="252">
        <f t="shared" si="157"/>
        <v>44741</v>
      </c>
      <c r="V796" s="6"/>
      <c r="W796" s="580">
        <v>760319</v>
      </c>
      <c r="X796" s="581"/>
      <c r="Y796" s="44">
        <v>3.0000000000000001E-3</v>
      </c>
      <c r="Z796" s="581"/>
      <c r="AA796" s="582">
        <f t="shared" ref="AA796" si="199">+W795-W796</f>
        <v>-18600</v>
      </c>
      <c r="AB796" s="581"/>
      <c r="AC796" s="583"/>
      <c r="AD796" s="251"/>
    </row>
    <row r="797" spans="15:32" x14ac:dyDescent="0.45">
      <c r="O797" s="98"/>
      <c r="T797" s="250"/>
      <c r="U797" s="252">
        <f t="shared" si="157"/>
        <v>44742</v>
      </c>
      <c r="V797" s="6"/>
      <c r="W797" s="580">
        <v>815453</v>
      </c>
      <c r="X797" s="581"/>
      <c r="Y797" s="44">
        <v>3.0000000000000001E-3</v>
      </c>
      <c r="Z797" s="581"/>
      <c r="AA797" s="582">
        <f t="shared" ref="AA797" si="200">+W796-W797</f>
        <v>-55134</v>
      </c>
      <c r="AB797" s="581"/>
      <c r="AC797" s="583"/>
      <c r="AD797" s="251"/>
    </row>
    <row r="798" spans="15:32" x14ac:dyDescent="0.45">
      <c r="O798" s="98"/>
      <c r="T798" s="250"/>
      <c r="U798" s="252">
        <f t="shared" si="157"/>
        <v>44743</v>
      </c>
      <c r="V798" s="6"/>
      <c r="W798" s="580">
        <v>887561</v>
      </c>
      <c r="X798" s="581"/>
      <c r="Y798" s="44">
        <v>3.0000000000000001E-3</v>
      </c>
      <c r="Z798" s="581"/>
      <c r="AA798" s="582">
        <f t="shared" ref="AA798" si="201">+W797-W798</f>
        <v>-72108</v>
      </c>
      <c r="AB798" s="581"/>
      <c r="AC798" s="583"/>
      <c r="AD798" s="251"/>
    </row>
    <row r="799" spans="15:32" x14ac:dyDescent="0.45">
      <c r="O799" s="98"/>
      <c r="T799" s="250"/>
      <c r="U799" s="252">
        <f t="shared" si="157"/>
        <v>44744</v>
      </c>
      <c r="V799" s="6"/>
      <c r="W799" s="580">
        <v>880042</v>
      </c>
      <c r="X799" s="581"/>
      <c r="Y799" s="44">
        <v>3.0000000000000001E-3</v>
      </c>
      <c r="Z799" s="581"/>
      <c r="AA799" s="582">
        <f t="shared" ref="AA799" si="202">+W798-W799</f>
        <v>7519</v>
      </c>
      <c r="AB799" s="581"/>
      <c r="AC799" s="583"/>
      <c r="AD799" s="251"/>
    </row>
    <row r="800" spans="15:32" x14ac:dyDescent="0.45">
      <c r="O800" s="98"/>
      <c r="T800" s="250"/>
      <c r="U800" s="573">
        <f t="shared" si="157"/>
        <v>44745</v>
      </c>
      <c r="V800" s="6"/>
      <c r="W800" s="580">
        <v>805960</v>
      </c>
      <c r="X800" s="581"/>
      <c r="Y800" s="44">
        <v>3.0000000000000001E-3</v>
      </c>
      <c r="Z800" s="581"/>
      <c r="AA800" s="582">
        <f t="shared" ref="AA800" si="203">+W799-W800</f>
        <v>74082</v>
      </c>
      <c r="AB800" s="581"/>
      <c r="AC800" s="583"/>
      <c r="AD800" s="251"/>
    </row>
    <row r="801" spans="15:30" x14ac:dyDescent="0.45">
      <c r="O801" s="98"/>
      <c r="T801" s="250"/>
      <c r="U801" s="252">
        <f t="shared" si="157"/>
        <v>44746</v>
      </c>
      <c r="V801" s="6"/>
      <c r="W801" s="580">
        <v>725552</v>
      </c>
      <c r="X801" s="581"/>
      <c r="Y801" s="44">
        <v>3.0000000000000001E-3</v>
      </c>
      <c r="Z801" s="581"/>
      <c r="AA801" s="582">
        <f t="shared" ref="AA801" si="204">+W800-W801</f>
        <v>80408</v>
      </c>
      <c r="AB801" s="581"/>
      <c r="AC801" s="583"/>
      <c r="AD801" s="251"/>
    </row>
    <row r="802" spans="15:30" x14ac:dyDescent="0.45">
      <c r="O802" s="98"/>
      <c r="T802" s="250"/>
      <c r="U802" s="252">
        <f t="shared" si="157"/>
        <v>44747</v>
      </c>
      <c r="V802" s="6"/>
      <c r="W802" s="580">
        <v>674570</v>
      </c>
      <c r="X802" s="581"/>
      <c r="Y802" s="44">
        <v>3.0000000000000001E-3</v>
      </c>
      <c r="Z802" s="581"/>
      <c r="AA802" s="582">
        <f t="shared" ref="AA802" si="205">+W801-W802</f>
        <v>50982</v>
      </c>
      <c r="AB802" s="581"/>
      <c r="AC802" s="583"/>
      <c r="AD802" s="251"/>
    </row>
    <row r="803" spans="15:30" x14ac:dyDescent="0.45">
      <c r="O803" s="98"/>
      <c r="T803" s="250"/>
      <c r="U803" s="252">
        <f t="shared" si="157"/>
        <v>44748</v>
      </c>
      <c r="V803" s="6"/>
      <c r="W803" s="580">
        <v>671689</v>
      </c>
      <c r="X803" s="581"/>
      <c r="Y803" s="44">
        <v>3.0000000000000001E-3</v>
      </c>
      <c r="Z803" s="581"/>
      <c r="AA803" s="582">
        <f t="shared" ref="AA803" si="206">+W802-W803</f>
        <v>2881</v>
      </c>
      <c r="AB803" s="581"/>
      <c r="AC803" s="583"/>
      <c r="AD803" s="251"/>
    </row>
    <row r="804" spans="15:30" x14ac:dyDescent="0.45">
      <c r="O804" s="98"/>
      <c r="T804" s="250"/>
      <c r="U804" s="252">
        <f t="shared" si="157"/>
        <v>44749</v>
      </c>
      <c r="V804" s="6"/>
      <c r="W804" s="580">
        <v>719540</v>
      </c>
      <c r="X804" s="581"/>
      <c r="Y804" s="44">
        <v>3.0000000000000001E-3</v>
      </c>
      <c r="Z804" s="581"/>
      <c r="AA804" s="582">
        <f t="shared" ref="AA804" si="207">+W803-W804</f>
        <v>-47851</v>
      </c>
      <c r="AB804" s="581"/>
      <c r="AC804" s="583"/>
      <c r="AD804" s="251"/>
    </row>
    <row r="805" spans="15:30" x14ac:dyDescent="0.45">
      <c r="O805" s="98"/>
      <c r="T805" s="250"/>
      <c r="U805" s="252">
        <f t="shared" si="157"/>
        <v>44750</v>
      </c>
      <c r="V805" s="6"/>
      <c r="W805" s="580">
        <v>807329</v>
      </c>
      <c r="X805" s="581"/>
      <c r="Y805" s="44">
        <v>3.0000000000000001E-3</v>
      </c>
      <c r="Z805" s="581"/>
      <c r="AA805" s="582">
        <f t="shared" ref="AA805" si="208">+W804-W805</f>
        <v>-87789</v>
      </c>
      <c r="AB805" s="581"/>
      <c r="AC805" s="583"/>
      <c r="AD805" s="251"/>
    </row>
    <row r="806" spans="15:30" x14ac:dyDescent="0.45">
      <c r="O806" s="98"/>
      <c r="T806" s="250"/>
      <c r="U806" s="252">
        <f t="shared" si="157"/>
        <v>44751</v>
      </c>
      <c r="V806" s="6"/>
      <c r="W806" s="580">
        <v>786080</v>
      </c>
      <c r="X806" s="581"/>
      <c r="Y806" s="44">
        <v>3.0000000000000001E-3</v>
      </c>
      <c r="Z806" s="581"/>
      <c r="AA806" s="582">
        <f t="shared" ref="AA806" si="209">+W805-W806</f>
        <v>21249</v>
      </c>
      <c r="AB806" s="581"/>
      <c r="AC806" s="583"/>
      <c r="AD806" s="251"/>
    </row>
    <row r="807" spans="15:30" x14ac:dyDescent="0.45">
      <c r="O807" s="98"/>
      <c r="T807" s="250"/>
      <c r="U807" s="573">
        <f t="shared" si="157"/>
        <v>44752</v>
      </c>
      <c r="V807" s="6"/>
      <c r="W807" s="580">
        <v>731524</v>
      </c>
      <c r="X807" s="581"/>
      <c r="Y807" s="44">
        <v>3.0000000000000001E-3</v>
      </c>
      <c r="Z807" s="581"/>
      <c r="AA807" s="582">
        <f t="shared" ref="AA807" si="210">+W806-W807</f>
        <v>54556</v>
      </c>
      <c r="AB807" s="581"/>
      <c r="AC807" s="583"/>
      <c r="AD807" s="251"/>
    </row>
    <row r="808" spans="15:30" x14ac:dyDescent="0.45">
      <c r="O808" s="98"/>
      <c r="T808" s="250"/>
      <c r="U808" s="252">
        <f t="shared" si="157"/>
        <v>44753</v>
      </c>
      <c r="V808" s="6"/>
      <c r="W808" s="580">
        <v>689419</v>
      </c>
      <c r="X808" s="581"/>
      <c r="Y808" s="44">
        <v>3.0000000000000001E-3</v>
      </c>
      <c r="Z808" s="581"/>
      <c r="AA808" s="582">
        <f t="shared" ref="AA808" si="211">+W807-W808</f>
        <v>42105</v>
      </c>
      <c r="AB808" s="581"/>
      <c r="AC808" s="583"/>
      <c r="AD808" s="251"/>
    </row>
    <row r="809" spans="15:30" x14ac:dyDescent="0.45">
      <c r="O809" s="98"/>
      <c r="T809" s="250"/>
      <c r="U809" s="252">
        <f t="shared" si="157"/>
        <v>44754</v>
      </c>
      <c r="V809" s="6"/>
      <c r="W809" s="580">
        <v>698972</v>
      </c>
      <c r="X809" s="581"/>
      <c r="Y809" s="44">
        <v>3.0000000000000001E-3</v>
      </c>
      <c r="Z809" s="581"/>
      <c r="AA809" s="582">
        <f t="shared" ref="AA809" si="212">+W808-W809</f>
        <v>-9553</v>
      </c>
      <c r="AB809" s="581"/>
      <c r="AC809" s="583"/>
      <c r="AD809" s="251"/>
    </row>
    <row r="810" spans="15:30" x14ac:dyDescent="0.45">
      <c r="O810" s="98"/>
      <c r="T810" s="250"/>
      <c r="U810" s="252">
        <f t="shared" si="157"/>
        <v>44755</v>
      </c>
      <c r="V810" s="6"/>
      <c r="W810" s="580">
        <v>704270</v>
      </c>
      <c r="X810" s="581"/>
      <c r="Y810" s="44">
        <v>3.0000000000000001E-3</v>
      </c>
      <c r="Z810" s="581"/>
      <c r="AA810" s="582">
        <f t="shared" ref="AA810" si="213">+W809-W810</f>
        <v>-5298</v>
      </c>
      <c r="AB810" s="581"/>
      <c r="AC810" s="583"/>
      <c r="AD810" s="251"/>
    </row>
    <row r="811" spans="15:30" x14ac:dyDescent="0.45">
      <c r="O811" s="98"/>
      <c r="T811" s="250"/>
      <c r="U811" s="252">
        <f t="shared" si="157"/>
        <v>44756</v>
      </c>
      <c r="V811" s="6"/>
      <c r="W811" s="580">
        <v>774329</v>
      </c>
      <c r="X811" s="581"/>
      <c r="Y811" s="44">
        <v>3.0000000000000001E-3</v>
      </c>
      <c r="Z811" s="581"/>
      <c r="AA811" s="582">
        <f t="shared" ref="AA811" si="214">+W810-W811</f>
        <v>-70059</v>
      </c>
      <c r="AB811" s="581"/>
      <c r="AC811" s="583"/>
      <c r="AD811" s="251"/>
    </row>
    <row r="812" spans="15:30" x14ac:dyDescent="0.45">
      <c r="O812" s="98"/>
      <c r="T812" s="250"/>
      <c r="U812" s="252">
        <f t="shared" si="157"/>
        <v>44757</v>
      </c>
      <c r="V812" s="6"/>
      <c r="W812" s="580">
        <v>855116</v>
      </c>
      <c r="X812" s="581"/>
      <c r="Y812" s="44">
        <v>3.0000000000000001E-3</v>
      </c>
      <c r="Z812" s="581"/>
      <c r="AA812" s="582">
        <f t="shared" ref="AA812" si="215">+W811-W812</f>
        <v>-80787</v>
      </c>
      <c r="AB812" s="581"/>
      <c r="AC812" s="583"/>
      <c r="AD812" s="251"/>
    </row>
    <row r="813" spans="15:30" x14ac:dyDescent="0.45">
      <c r="O813" s="98"/>
      <c r="T813" s="250"/>
      <c r="U813" s="252">
        <f t="shared" si="157"/>
        <v>44758</v>
      </c>
      <c r="V813" s="6"/>
      <c r="W813" s="580">
        <v>836380</v>
      </c>
      <c r="X813" s="581"/>
      <c r="Y813" s="44">
        <v>3.0000000000000001E-3</v>
      </c>
      <c r="Z813" s="581"/>
      <c r="AA813" s="582">
        <f t="shared" ref="AA813" si="216">+W812-W813</f>
        <v>18736</v>
      </c>
      <c r="AB813" s="581"/>
      <c r="AC813" s="583"/>
      <c r="AD813" s="251"/>
    </row>
    <row r="814" spans="15:30" x14ac:dyDescent="0.45">
      <c r="O814" s="98"/>
      <c r="T814" s="250"/>
      <c r="U814" s="573">
        <f t="shared" si="157"/>
        <v>44759</v>
      </c>
      <c r="V814" s="6"/>
      <c r="W814" s="580">
        <v>761175</v>
      </c>
      <c r="X814" s="581"/>
      <c r="Y814" s="44">
        <v>3.0000000000000001E-3</v>
      </c>
      <c r="Z814" s="581"/>
      <c r="AA814" s="582">
        <f t="shared" ref="AA814" si="217">+W813-W814</f>
        <v>75205</v>
      </c>
      <c r="AB814" s="581"/>
      <c r="AC814" s="583"/>
      <c r="AD814" s="251"/>
    </row>
    <row r="815" spans="15:30" x14ac:dyDescent="0.45">
      <c r="O815" s="98"/>
      <c r="T815" s="250"/>
      <c r="U815" s="252">
        <f t="shared" si="157"/>
        <v>44760</v>
      </c>
      <c r="V815" s="6"/>
      <c r="W815" s="580">
        <v>716175</v>
      </c>
      <c r="X815" s="581"/>
      <c r="Y815" s="44">
        <v>3.0000000000000001E-3</v>
      </c>
      <c r="Z815" s="581"/>
      <c r="AA815" s="582">
        <f t="shared" ref="AA815" si="218">+W814-W815</f>
        <v>45000</v>
      </c>
      <c r="AB815" s="581"/>
      <c r="AC815" s="583"/>
      <c r="AD815" s="251"/>
    </row>
    <row r="816" spans="15:30" x14ac:dyDescent="0.45">
      <c r="O816" s="98"/>
      <c r="T816" s="250"/>
      <c r="U816" s="252">
        <f t="shared" si="157"/>
        <v>44761</v>
      </c>
      <c r="V816" s="6"/>
      <c r="W816" s="580">
        <v>727845</v>
      </c>
      <c r="X816" s="581"/>
      <c r="Y816" s="44">
        <v>3.0000000000000001E-3</v>
      </c>
      <c r="Z816" s="581"/>
      <c r="AA816" s="582">
        <f t="shared" ref="AA816" si="219">+W815-W816</f>
        <v>-11670</v>
      </c>
      <c r="AB816" s="581"/>
      <c r="AC816" s="583"/>
      <c r="AD816" s="251"/>
    </row>
    <row r="817" spans="15:30" x14ac:dyDescent="0.45">
      <c r="O817" s="98"/>
      <c r="T817" s="250"/>
      <c r="U817" s="252">
        <f t="shared" si="157"/>
        <v>44762</v>
      </c>
      <c r="V817" s="6"/>
      <c r="W817" s="580">
        <v>778035</v>
      </c>
      <c r="X817" s="581"/>
      <c r="Y817" s="44">
        <v>3.0000000000000001E-3</v>
      </c>
      <c r="Z817" s="581"/>
      <c r="AA817" s="582">
        <f t="shared" ref="AA817" si="220">+W816-W817</f>
        <v>-50190</v>
      </c>
      <c r="AB817" s="581"/>
      <c r="AC817" s="583"/>
      <c r="AD817" s="251"/>
    </row>
    <row r="818" spans="15:30" x14ac:dyDescent="0.45">
      <c r="O818" s="98"/>
      <c r="T818" s="250"/>
      <c r="U818" s="252">
        <f t="shared" si="157"/>
        <v>44763</v>
      </c>
      <c r="V818" s="6"/>
      <c r="W818" s="580">
        <v>854864</v>
      </c>
      <c r="X818" s="581"/>
      <c r="Y818" s="44">
        <v>3.0000000000000001E-3</v>
      </c>
      <c r="Z818" s="581"/>
      <c r="AA818" s="582">
        <f t="shared" ref="AA818" si="221">+W817-W818</f>
        <v>-76829</v>
      </c>
      <c r="AB818" s="581"/>
      <c r="AC818" s="583"/>
      <c r="AD818" s="251"/>
    </row>
    <row r="819" spans="15:30" x14ac:dyDescent="0.45">
      <c r="O819" s="98"/>
      <c r="T819" s="250"/>
      <c r="U819" s="252">
        <f t="shared" ref="U819:U845" si="222">+U818+1</f>
        <v>44764</v>
      </c>
      <c r="V819" s="6"/>
      <c r="W819" s="580">
        <v>903388</v>
      </c>
      <c r="X819" s="581"/>
      <c r="Y819" s="44">
        <v>3.0000000000000001E-3</v>
      </c>
      <c r="Z819" s="581"/>
      <c r="AA819" s="582">
        <f t="shared" ref="AA819" si="223">+W818-W819</f>
        <v>-48524</v>
      </c>
      <c r="AB819" s="581"/>
      <c r="AC819" s="583"/>
      <c r="AD819" s="251"/>
    </row>
    <row r="820" spans="15:30" x14ac:dyDescent="0.45">
      <c r="O820" s="98"/>
      <c r="T820" s="250"/>
      <c r="U820" s="252">
        <f t="shared" si="222"/>
        <v>44765</v>
      </c>
      <c r="V820" s="6"/>
      <c r="W820" s="580">
        <v>834464</v>
      </c>
      <c r="X820" s="581"/>
      <c r="Y820" s="44">
        <v>3.0000000000000001E-3</v>
      </c>
      <c r="Z820" s="581"/>
      <c r="AA820" s="582">
        <f t="shared" ref="AA820" si="224">+W819-W820</f>
        <v>68924</v>
      </c>
      <c r="AB820" s="581"/>
      <c r="AC820" s="583"/>
      <c r="AD820" s="251"/>
    </row>
    <row r="821" spans="15:30" x14ac:dyDescent="0.45">
      <c r="O821" s="98"/>
      <c r="T821" s="250"/>
      <c r="U821" s="573">
        <f t="shared" si="222"/>
        <v>44766</v>
      </c>
      <c r="V821" s="6"/>
      <c r="W821" s="580">
        <v>749030</v>
      </c>
      <c r="X821" s="581"/>
      <c r="Y821" s="44">
        <v>3.0000000000000001E-3</v>
      </c>
      <c r="Z821" s="581"/>
      <c r="AA821" s="582">
        <f t="shared" ref="AA821" si="225">+W820-W821</f>
        <v>85434</v>
      </c>
      <c r="AB821" s="581"/>
      <c r="AC821" s="583"/>
      <c r="AD821" s="251"/>
    </row>
    <row r="822" spans="15:30" x14ac:dyDescent="0.45">
      <c r="O822" s="98"/>
      <c r="T822" s="250"/>
      <c r="U822" s="252">
        <f t="shared" si="222"/>
        <v>44767</v>
      </c>
      <c r="V822" s="6"/>
      <c r="W822" s="580">
        <v>721891</v>
      </c>
      <c r="X822" s="581"/>
      <c r="Y822" s="44">
        <v>3.0000000000000001E-3</v>
      </c>
      <c r="Z822" s="581"/>
      <c r="AA822" s="582">
        <f t="shared" ref="AA822" si="226">+W821-W822</f>
        <v>27139</v>
      </c>
      <c r="AB822" s="581"/>
      <c r="AC822" s="583"/>
      <c r="AD822" s="251"/>
    </row>
    <row r="823" spans="15:30" x14ac:dyDescent="0.45">
      <c r="O823" s="98"/>
      <c r="T823" s="250"/>
      <c r="U823" s="252">
        <f t="shared" si="222"/>
        <v>44768</v>
      </c>
      <c r="V823" s="6"/>
      <c r="W823" s="580">
        <v>716027</v>
      </c>
      <c r="X823" s="581"/>
      <c r="Y823" s="44">
        <v>3.0000000000000001E-3</v>
      </c>
      <c r="Z823" s="581"/>
      <c r="AA823" s="582">
        <f t="shared" ref="AA823" si="227">+W822-W823</f>
        <v>5864</v>
      </c>
      <c r="AB823" s="581"/>
      <c r="AC823" s="583"/>
      <c r="AD823" s="251"/>
    </row>
    <row r="824" spans="15:30" x14ac:dyDescent="0.45">
      <c r="O824" s="98"/>
      <c r="T824" s="250"/>
      <c r="U824" s="252">
        <f t="shared" si="222"/>
        <v>44769</v>
      </c>
      <c r="V824" s="6"/>
      <c r="W824" s="580">
        <v>803295</v>
      </c>
      <c r="X824" s="581"/>
      <c r="Y824" s="44">
        <v>3.0000000000000001E-3</v>
      </c>
      <c r="Z824" s="581"/>
      <c r="AA824" s="582">
        <f t="shared" ref="AA824" si="228">+W823-W824</f>
        <v>-87268</v>
      </c>
      <c r="AB824" s="581"/>
      <c r="AC824" s="583"/>
      <c r="AD824" s="251"/>
    </row>
    <row r="825" spans="15:30" x14ac:dyDescent="0.45">
      <c r="O825" s="98"/>
      <c r="T825" s="250"/>
      <c r="U825" s="252">
        <f t="shared" si="222"/>
        <v>44770</v>
      </c>
      <c r="V825" s="6"/>
      <c r="W825" s="580">
        <v>876761</v>
      </c>
      <c r="X825" s="581"/>
      <c r="Y825" s="44">
        <v>3.0000000000000001E-3</v>
      </c>
      <c r="Z825" s="581"/>
      <c r="AA825" s="582">
        <f t="shared" ref="AA825" si="229">+W824-W825</f>
        <v>-73466</v>
      </c>
      <c r="AB825" s="581"/>
      <c r="AC825" s="583"/>
      <c r="AD825" s="251"/>
    </row>
    <row r="826" spans="15:30" x14ac:dyDescent="0.45">
      <c r="O826" s="98"/>
      <c r="T826" s="250"/>
      <c r="U826" s="252">
        <f t="shared" si="222"/>
        <v>44771</v>
      </c>
      <c r="V826" s="6"/>
      <c r="W826" s="580">
        <v>912599</v>
      </c>
      <c r="X826" s="581"/>
      <c r="Y826" s="44">
        <v>3.0000000000000001E-3</v>
      </c>
      <c r="Z826" s="581"/>
      <c r="AA826" s="582">
        <f t="shared" ref="AA826" si="230">+W825-W826</f>
        <v>-35838</v>
      </c>
      <c r="AB826" s="581"/>
      <c r="AC826" s="583"/>
      <c r="AD826" s="251"/>
    </row>
    <row r="827" spans="15:30" x14ac:dyDescent="0.45">
      <c r="O827" s="98"/>
      <c r="T827" s="250"/>
      <c r="U827" s="252">
        <f t="shared" si="222"/>
        <v>44772</v>
      </c>
      <c r="V827" s="6"/>
      <c r="W827" s="580">
        <v>852881</v>
      </c>
      <c r="X827" s="581"/>
      <c r="Y827" s="44">
        <v>3.0000000000000001E-3</v>
      </c>
      <c r="Z827" s="581"/>
      <c r="AA827" s="582">
        <f t="shared" ref="AA827" si="231">+W826-W827</f>
        <v>59718</v>
      </c>
      <c r="AB827" s="581"/>
      <c r="AC827" s="583"/>
      <c r="AD827" s="251"/>
    </row>
    <row r="828" spans="15:30" x14ac:dyDescent="0.45">
      <c r="O828" s="98"/>
      <c r="T828" s="250"/>
      <c r="U828" s="573">
        <f t="shared" si="222"/>
        <v>44773</v>
      </c>
      <c r="V828" s="6"/>
      <c r="W828" s="580">
        <v>751540</v>
      </c>
      <c r="X828" s="581"/>
      <c r="Y828" s="44">
        <v>3.0000000000000001E-3</v>
      </c>
      <c r="Z828" s="581"/>
      <c r="AA828" s="582">
        <f t="shared" ref="AA828" si="232">+W827-W828</f>
        <v>101341</v>
      </c>
      <c r="AB828" s="581"/>
      <c r="AC828" s="583"/>
      <c r="AD828" s="251"/>
    </row>
    <row r="829" spans="15:30" x14ac:dyDescent="0.45">
      <c r="O829" s="98"/>
      <c r="T829" s="250"/>
      <c r="U829" s="252">
        <f t="shared" si="222"/>
        <v>44774</v>
      </c>
      <c r="V829" s="6"/>
      <c r="W829" s="580">
        <v>705175</v>
      </c>
      <c r="X829" s="581"/>
      <c r="Y829" s="44">
        <v>3.0000000000000001E-3</v>
      </c>
      <c r="Z829" s="581"/>
      <c r="AA829" s="582">
        <f t="shared" ref="AA829" si="233">+W828-W829</f>
        <v>46365</v>
      </c>
      <c r="AB829" s="581"/>
      <c r="AC829" s="583"/>
      <c r="AD829" s="251"/>
    </row>
    <row r="830" spans="15:30" x14ac:dyDescent="0.45">
      <c r="O830" s="98"/>
      <c r="T830" s="250"/>
      <c r="U830" s="252">
        <f t="shared" si="222"/>
        <v>44775</v>
      </c>
      <c r="V830" s="6"/>
      <c r="W830" s="580">
        <v>659970</v>
      </c>
      <c r="X830" s="581"/>
      <c r="Y830" s="44">
        <v>3.0000000000000001E-3</v>
      </c>
      <c r="Z830" s="581"/>
      <c r="AA830" s="582">
        <f t="shared" ref="AA830" si="234">+W829-W830</f>
        <v>45205</v>
      </c>
      <c r="AB830" s="581"/>
      <c r="AC830" s="583"/>
      <c r="AD830" s="251"/>
    </row>
    <row r="831" spans="15:30" x14ac:dyDescent="0.45">
      <c r="O831" s="98"/>
      <c r="T831" s="250"/>
      <c r="U831" s="252">
        <f t="shared" si="222"/>
        <v>44776</v>
      </c>
      <c r="V831" s="6"/>
      <c r="W831" s="580">
        <v>734133</v>
      </c>
      <c r="X831" s="581"/>
      <c r="Y831" s="44">
        <v>3.0000000000000001E-3</v>
      </c>
      <c r="Z831" s="581"/>
      <c r="AA831" s="582">
        <f t="shared" ref="AA831" si="235">+W830-W831</f>
        <v>-74163</v>
      </c>
      <c r="AB831" s="581"/>
      <c r="AC831" s="583"/>
      <c r="AD831" s="251"/>
    </row>
    <row r="832" spans="15:30" x14ac:dyDescent="0.45">
      <c r="O832" s="98"/>
      <c r="T832" s="250"/>
      <c r="U832" s="252">
        <f t="shared" si="222"/>
        <v>44777</v>
      </c>
      <c r="V832" s="6"/>
      <c r="W832" s="580">
        <v>797976</v>
      </c>
      <c r="X832" s="581"/>
      <c r="Y832" s="44">
        <v>3.0000000000000001E-3</v>
      </c>
      <c r="Z832" s="581"/>
      <c r="AA832" s="582">
        <f t="shared" ref="AA832" si="236">+W831-W832</f>
        <v>-63843</v>
      </c>
      <c r="AB832" s="581"/>
      <c r="AC832" s="583"/>
      <c r="AD832" s="251"/>
    </row>
    <row r="833" spans="15:30" x14ac:dyDescent="0.45">
      <c r="O833" s="98"/>
      <c r="T833" s="250"/>
      <c r="U833" s="252">
        <f t="shared" si="222"/>
        <v>44778</v>
      </c>
      <c r="V833" s="6"/>
      <c r="W833" s="580">
        <v>818909</v>
      </c>
      <c r="X833" s="581"/>
      <c r="Y833" s="44">
        <v>3.0000000000000001E-3</v>
      </c>
      <c r="Z833" s="581"/>
      <c r="AA833" s="582">
        <f t="shared" ref="AA833" si="237">+W832-W833</f>
        <v>-20933</v>
      </c>
      <c r="AB833" s="581"/>
      <c r="AC833" s="583"/>
      <c r="AD833" s="251"/>
    </row>
    <row r="834" spans="15:30" x14ac:dyDescent="0.45">
      <c r="O834" s="98"/>
      <c r="T834" s="250"/>
      <c r="U834" s="252">
        <f t="shared" si="222"/>
        <v>44779</v>
      </c>
      <c r="V834" s="6"/>
      <c r="W834" s="580">
        <v>744409</v>
      </c>
      <c r="X834" s="581"/>
      <c r="Y834" s="44">
        <v>3.0000000000000001E-3</v>
      </c>
      <c r="Z834" s="581"/>
      <c r="AA834" s="582">
        <f t="shared" ref="AA834" si="238">+W833-W834</f>
        <v>74500</v>
      </c>
      <c r="AB834" s="581"/>
      <c r="AC834" s="583"/>
      <c r="AD834" s="251"/>
    </row>
    <row r="835" spans="15:30" x14ac:dyDescent="0.45">
      <c r="O835" s="98"/>
      <c r="T835" s="250"/>
      <c r="U835" s="573">
        <f t="shared" si="222"/>
        <v>44780</v>
      </c>
      <c r="V835" s="6"/>
      <c r="W835" s="580">
        <v>642701</v>
      </c>
      <c r="X835" s="581"/>
      <c r="Y835" s="44">
        <v>3.0000000000000001E-3</v>
      </c>
      <c r="Z835" s="581"/>
      <c r="AA835" s="582">
        <f t="shared" ref="AA835" si="239">+W834-W835</f>
        <v>101708</v>
      </c>
      <c r="AB835" s="581"/>
      <c r="AC835" s="583"/>
      <c r="AD835" s="251"/>
    </row>
    <row r="836" spans="15:30" x14ac:dyDescent="0.45">
      <c r="O836" s="98"/>
      <c r="T836" s="250"/>
      <c r="U836" s="252">
        <f t="shared" si="222"/>
        <v>44781</v>
      </c>
      <c r="V836" s="6"/>
      <c r="W836" s="580">
        <v>593543</v>
      </c>
      <c r="X836" s="581"/>
      <c r="Y836" s="44">
        <v>3.0000000000000001E-3</v>
      </c>
      <c r="Z836" s="581"/>
      <c r="AA836" s="582">
        <f t="shared" ref="AA836" si="240">+W835-W836</f>
        <v>49158</v>
      </c>
      <c r="AB836" s="581"/>
      <c r="AC836" s="583"/>
      <c r="AD836" s="251"/>
    </row>
    <row r="837" spans="15:30" x14ac:dyDescent="0.45">
      <c r="O837" s="98"/>
      <c r="T837" s="250"/>
      <c r="U837" s="252">
        <f t="shared" si="222"/>
        <v>44782</v>
      </c>
      <c r="V837" s="6"/>
      <c r="W837" s="580">
        <v>552730</v>
      </c>
      <c r="X837" s="581"/>
      <c r="Y837" s="44">
        <v>3.0000000000000001E-3</v>
      </c>
      <c r="Z837" s="581"/>
      <c r="AA837" s="582">
        <f t="shared" ref="AA837" si="241">+W836-W837</f>
        <v>40813</v>
      </c>
      <c r="AB837" s="581"/>
      <c r="AC837" s="583"/>
      <c r="AD837" s="251"/>
    </row>
    <row r="838" spans="15:30" x14ac:dyDescent="0.45">
      <c r="O838" s="98"/>
      <c r="T838" s="250"/>
      <c r="U838" s="252">
        <f t="shared" si="222"/>
        <v>44783</v>
      </c>
      <c r="V838" s="6"/>
      <c r="W838" s="580">
        <v>632647</v>
      </c>
      <c r="X838" s="581"/>
      <c r="Y838" s="44">
        <v>3.0000000000000001E-3</v>
      </c>
      <c r="Z838" s="581"/>
      <c r="AA838" s="582">
        <f t="shared" ref="AA838" si="242">+W837-W838</f>
        <v>-79917</v>
      </c>
      <c r="AB838" s="581"/>
      <c r="AC838" s="583"/>
      <c r="AD838" s="251"/>
    </row>
    <row r="839" spans="15:30" x14ac:dyDescent="0.45">
      <c r="O839" s="98"/>
      <c r="T839" s="250"/>
      <c r="U839" s="252">
        <f t="shared" si="222"/>
        <v>44784</v>
      </c>
      <c r="V839" s="6"/>
      <c r="W839" s="580">
        <v>699437</v>
      </c>
      <c r="X839" s="581"/>
      <c r="Y839" s="44">
        <v>3.0000000000000001E-3</v>
      </c>
      <c r="Z839" s="581"/>
      <c r="AA839" s="582">
        <f t="shared" ref="AA839" si="243">+W838-W839</f>
        <v>-66790</v>
      </c>
      <c r="AB839" s="581"/>
      <c r="AC839" s="583"/>
      <c r="AD839" s="251"/>
    </row>
    <row r="840" spans="15:30" x14ac:dyDescent="0.45">
      <c r="O840" s="98"/>
      <c r="T840" s="250"/>
      <c r="U840" s="252">
        <f t="shared" si="222"/>
        <v>44785</v>
      </c>
      <c r="V840" s="6"/>
      <c r="W840" s="580">
        <v>730066</v>
      </c>
      <c r="X840" s="581"/>
      <c r="Y840" s="44">
        <v>3.0000000000000001E-3</v>
      </c>
      <c r="Z840" s="581"/>
      <c r="AA840" s="582">
        <f t="shared" ref="AA840" si="244">+W839-W840</f>
        <v>-30629</v>
      </c>
      <c r="AB840" s="581"/>
      <c r="AC840" s="583"/>
      <c r="AD840" s="251"/>
    </row>
    <row r="841" spans="15:30" x14ac:dyDescent="0.45">
      <c r="O841" s="98"/>
      <c r="T841" s="250"/>
      <c r="U841" s="252">
        <f t="shared" si="222"/>
        <v>44786</v>
      </c>
      <c r="V841" s="6"/>
      <c r="W841" s="580">
        <v>680942</v>
      </c>
      <c r="X841" s="581"/>
      <c r="Y841" s="44">
        <v>3.0000000000000001E-3</v>
      </c>
      <c r="Z841" s="581"/>
      <c r="AA841" s="582">
        <f t="shared" ref="AA841" si="245">+W840-W841</f>
        <v>49124</v>
      </c>
      <c r="AB841" s="581"/>
      <c r="AC841" s="583"/>
      <c r="AD841" s="251"/>
    </row>
    <row r="842" spans="15:30" x14ac:dyDescent="0.45">
      <c r="O842" s="98"/>
      <c r="T842" s="250"/>
      <c r="U842" s="573">
        <f t="shared" si="222"/>
        <v>44787</v>
      </c>
      <c r="V842" s="6"/>
      <c r="W842" s="580">
        <v>589492</v>
      </c>
      <c r="X842" s="581"/>
      <c r="Y842" s="44">
        <v>3.0000000000000001E-3</v>
      </c>
      <c r="Z842" s="581"/>
      <c r="AA842" s="582">
        <f t="shared" ref="AA842" si="246">+W841-W842</f>
        <v>91450</v>
      </c>
      <c r="AB842" s="581"/>
      <c r="AC842" s="583"/>
      <c r="AD842" s="251"/>
    </row>
    <row r="843" spans="15:30" x14ac:dyDescent="0.45">
      <c r="O843" s="98"/>
      <c r="T843" s="250"/>
      <c r="U843" s="252">
        <f t="shared" si="222"/>
        <v>44788</v>
      </c>
      <c r="V843" s="6"/>
      <c r="W843" s="580">
        <v>540802</v>
      </c>
      <c r="X843" s="581"/>
      <c r="Y843" s="44">
        <v>3.0000000000000001E-3</v>
      </c>
      <c r="Z843" s="581"/>
      <c r="AA843" s="582">
        <f t="shared" ref="AA843" si="247">+W842-W843</f>
        <v>48690</v>
      </c>
      <c r="AB843" s="581"/>
      <c r="AC843" s="583"/>
      <c r="AD843" s="251"/>
    </row>
    <row r="844" spans="15:30" x14ac:dyDescent="0.45">
      <c r="O844" s="98"/>
      <c r="T844" s="250"/>
      <c r="U844" s="252">
        <f t="shared" si="222"/>
        <v>44789</v>
      </c>
      <c r="V844" s="6"/>
      <c r="W844" s="580">
        <v>545632</v>
      </c>
      <c r="X844" s="581"/>
      <c r="Y844" s="44">
        <v>3.0000000000000001E-3</v>
      </c>
      <c r="Z844" s="581"/>
      <c r="AA844" s="582">
        <f t="shared" ref="AA844" si="248">+W843-W844</f>
        <v>-4830</v>
      </c>
      <c r="AB844" s="581"/>
      <c r="AC844" s="583"/>
      <c r="AD844" s="251"/>
    </row>
    <row r="845" spans="15:30" x14ac:dyDescent="0.45">
      <c r="O845" s="98"/>
      <c r="T845" s="250"/>
      <c r="U845" s="252">
        <f t="shared" si="222"/>
        <v>44790</v>
      </c>
      <c r="V845" s="6"/>
      <c r="W845" s="580">
        <v>619168</v>
      </c>
      <c r="X845" s="581"/>
      <c r="Y845" s="44">
        <v>3.0000000000000001E-3</v>
      </c>
      <c r="Z845" s="581"/>
      <c r="AA845" s="582">
        <f t="shared" ref="AA845" si="249">+W844-W845</f>
        <v>-73536</v>
      </c>
      <c r="AB845" s="581"/>
      <c r="AC845" s="583"/>
      <c r="AD845" s="251"/>
    </row>
    <row r="846" spans="15:30" x14ac:dyDescent="0.45">
      <c r="O846" s="98"/>
      <c r="T846" s="250"/>
      <c r="U846" s="252">
        <f>+U845+1</f>
        <v>44791</v>
      </c>
      <c r="V846" s="6"/>
      <c r="W846" s="580">
        <v>675644</v>
      </c>
      <c r="X846" s="581"/>
      <c r="Y846" s="44">
        <v>3.0000000000000001E-3</v>
      </c>
      <c r="Z846" s="581"/>
      <c r="AA846" s="582">
        <f t="shared" ref="AA846" si="250">+W845-W846</f>
        <v>-56476</v>
      </c>
      <c r="AB846" s="581"/>
      <c r="AC846" s="583"/>
      <c r="AD846" s="251"/>
    </row>
    <row r="847" spans="15:30" x14ac:dyDescent="0.45">
      <c r="O847" s="98"/>
      <c r="T847" s="250"/>
      <c r="U847" s="252">
        <f t="shared" ref="U847:U868" si="251">+U846+1</f>
        <v>44792</v>
      </c>
      <c r="V847" s="6"/>
      <c r="W847" s="580">
        <v>707162</v>
      </c>
      <c r="X847" s="581"/>
      <c r="Y847" s="44">
        <v>3.0000000000000001E-3</v>
      </c>
      <c r="Z847" s="581"/>
      <c r="AA847" s="582">
        <f t="shared" ref="AA847" si="252">+W846-W847</f>
        <v>-31518</v>
      </c>
      <c r="AB847" s="581"/>
      <c r="AC847" s="583"/>
      <c r="AD847" s="251"/>
    </row>
    <row r="848" spans="15:30" x14ac:dyDescent="0.45">
      <c r="O848" s="98"/>
      <c r="T848" s="250"/>
      <c r="U848" s="252">
        <f t="shared" si="251"/>
        <v>44793</v>
      </c>
      <c r="V848" s="6"/>
      <c r="W848" s="580">
        <v>655017</v>
      </c>
      <c r="X848" s="581"/>
      <c r="Y848" s="44">
        <v>3.0000000000000001E-3</v>
      </c>
      <c r="Z848" s="581"/>
      <c r="AA848" s="582">
        <f t="shared" ref="AA848" si="253">+W847-W848</f>
        <v>52145</v>
      </c>
      <c r="AB848" s="581"/>
      <c r="AC848" s="583"/>
      <c r="AD848" s="251"/>
    </row>
    <row r="849" spans="15:30" x14ac:dyDescent="0.45">
      <c r="O849" s="98"/>
      <c r="T849" s="250"/>
      <c r="U849" s="573">
        <f t="shared" si="251"/>
        <v>44794</v>
      </c>
      <c r="V849" s="6"/>
      <c r="W849" s="580">
        <v>568738</v>
      </c>
      <c r="X849" s="581"/>
      <c r="Y849" s="44">
        <v>3.0000000000000001E-3</v>
      </c>
      <c r="Z849" s="581"/>
      <c r="AA849" s="582">
        <f t="shared" ref="AA849" si="254">+W848-W849</f>
        <v>86279</v>
      </c>
      <c r="AB849" s="581"/>
      <c r="AC849" s="583"/>
      <c r="AD849" s="251"/>
    </row>
    <row r="850" spans="15:30" x14ac:dyDescent="0.45">
      <c r="O850" s="98"/>
      <c r="T850" s="250"/>
      <c r="U850" s="252">
        <f t="shared" si="251"/>
        <v>44795</v>
      </c>
      <c r="V850" s="6"/>
      <c r="W850" s="580">
        <v>524769</v>
      </c>
      <c r="X850" s="581"/>
      <c r="Y850" s="44">
        <v>3.0000000000000001E-3</v>
      </c>
      <c r="Z850" s="581"/>
      <c r="AA850" s="582">
        <f t="shared" ref="AA850" si="255">+W849-W850</f>
        <v>43969</v>
      </c>
      <c r="AB850" s="581"/>
      <c r="AC850" s="583"/>
      <c r="AD850" s="251"/>
    </row>
    <row r="851" spans="15:30" x14ac:dyDescent="0.45">
      <c r="O851" s="98"/>
      <c r="T851" s="250"/>
      <c r="U851" s="252">
        <f t="shared" si="251"/>
        <v>44796</v>
      </c>
      <c r="V851" s="6"/>
      <c r="W851" s="580">
        <v>493091</v>
      </c>
      <c r="X851" s="581"/>
      <c r="Y851" s="44">
        <v>3.0000000000000001E-3</v>
      </c>
      <c r="Z851" s="581"/>
      <c r="AA851" s="582">
        <f t="shared" ref="AA851" si="256">+W850-W851</f>
        <v>31678</v>
      </c>
      <c r="AB851" s="581"/>
      <c r="AC851" s="583"/>
      <c r="AD851" s="251"/>
    </row>
    <row r="852" spans="15:30" x14ac:dyDescent="0.45">
      <c r="O852" s="98"/>
      <c r="T852" s="250"/>
      <c r="U852" s="252">
        <f t="shared" si="251"/>
        <v>44797</v>
      </c>
      <c r="V852" s="6"/>
      <c r="W852" s="580">
        <v>562437</v>
      </c>
      <c r="X852" s="581"/>
      <c r="Y852" s="44">
        <v>3.0000000000000001E-3</v>
      </c>
      <c r="Z852" s="581"/>
      <c r="AA852" s="582">
        <f t="shared" ref="AA852" si="257">+W851-W852</f>
        <v>-69346</v>
      </c>
      <c r="AB852" s="581"/>
      <c r="AC852" s="583"/>
      <c r="AD852" s="251"/>
    </row>
    <row r="853" spans="15:30" x14ac:dyDescent="0.45">
      <c r="O853" s="98"/>
      <c r="T853" s="250"/>
      <c r="U853" s="252">
        <f t="shared" si="251"/>
        <v>44798</v>
      </c>
      <c r="V853" s="6"/>
      <c r="W853" s="580">
        <v>612893</v>
      </c>
      <c r="X853" s="581"/>
      <c r="Y853" s="44">
        <v>3.0000000000000001E-3</v>
      </c>
      <c r="Z853" s="581"/>
      <c r="AA853" s="582">
        <f t="shared" ref="AA853" si="258">+W852-W853</f>
        <v>-50456</v>
      </c>
      <c r="AB853" s="581"/>
      <c r="AC853" s="583"/>
      <c r="AD853" s="251"/>
    </row>
    <row r="854" spans="15:30" x14ac:dyDescent="0.45">
      <c r="O854" s="98"/>
      <c r="T854" s="250"/>
      <c r="U854" s="252">
        <f t="shared" si="251"/>
        <v>44799</v>
      </c>
      <c r="V854" s="6"/>
      <c r="W854" s="580">
        <v>638974</v>
      </c>
      <c r="X854" s="581"/>
      <c r="Y854" s="44">
        <v>3.0000000000000001E-3</v>
      </c>
      <c r="Z854" s="581"/>
      <c r="AA854" s="582">
        <f t="shared" ref="AA854" si="259">+W853-W854</f>
        <v>-26081</v>
      </c>
      <c r="AB854" s="581"/>
      <c r="AC854" s="583"/>
      <c r="AD854" s="251"/>
    </row>
    <row r="855" spans="15:30" x14ac:dyDescent="0.45">
      <c r="O855" s="98"/>
      <c r="T855" s="250"/>
      <c r="U855" s="252">
        <f t="shared" si="251"/>
        <v>44800</v>
      </c>
      <c r="V855" s="6"/>
      <c r="W855" s="580">
        <v>567024</v>
      </c>
      <c r="X855" s="581"/>
      <c r="Y855" s="44">
        <v>3.0000000000000001E-3</v>
      </c>
      <c r="Z855" s="581"/>
      <c r="AA855" s="582">
        <f t="shared" ref="AA855" si="260">+W854-W855</f>
        <v>71950</v>
      </c>
      <c r="AB855" s="581"/>
      <c r="AC855" s="583"/>
      <c r="AD855" s="251"/>
    </row>
    <row r="856" spans="15:30" x14ac:dyDescent="0.45">
      <c r="O856" s="98"/>
      <c r="T856" s="250"/>
      <c r="U856" s="573">
        <f t="shared" si="251"/>
        <v>44801</v>
      </c>
      <c r="V856" s="6"/>
      <c r="W856" s="580">
        <v>488346</v>
      </c>
      <c r="X856" s="581"/>
      <c r="Y856" s="44">
        <v>3.0000000000000001E-3</v>
      </c>
      <c r="Z856" s="581"/>
      <c r="AA856" s="582">
        <f t="shared" ref="AA856" si="261">+W855-W856</f>
        <v>78678</v>
      </c>
      <c r="AB856" s="581"/>
      <c r="AC856" s="583"/>
      <c r="AD856" s="251"/>
    </row>
    <row r="857" spans="15:30" x14ac:dyDescent="0.45">
      <c r="O857" s="98"/>
      <c r="T857" s="250"/>
      <c r="U857" s="252">
        <f t="shared" si="251"/>
        <v>44802</v>
      </c>
      <c r="V857" s="6"/>
      <c r="W857" s="580">
        <v>449502</v>
      </c>
      <c r="X857" s="581"/>
      <c r="Y857" s="44">
        <v>3.0000000000000001E-3</v>
      </c>
      <c r="Z857" s="581"/>
      <c r="AA857" s="582">
        <f t="shared" ref="AA857" si="262">+W856-W857</f>
        <v>38844</v>
      </c>
      <c r="AB857" s="581"/>
      <c r="AC857" s="583"/>
      <c r="AD857" s="251"/>
    </row>
    <row r="858" spans="15:30" x14ac:dyDescent="0.45">
      <c r="O858" s="98"/>
      <c r="T858" s="250"/>
      <c r="U858" s="252">
        <f t="shared" si="251"/>
        <v>44803</v>
      </c>
      <c r="V858" s="6"/>
      <c r="W858" s="580">
        <v>490755</v>
      </c>
      <c r="X858" s="581"/>
      <c r="Y858" s="44">
        <v>3.0000000000000001E-3</v>
      </c>
      <c r="Z858" s="581"/>
      <c r="AA858" s="582">
        <f t="shared" ref="AA858" si="263">+W857-W858</f>
        <v>-41253</v>
      </c>
      <c r="AB858" s="581"/>
      <c r="AC858" s="583"/>
      <c r="AD858" s="251"/>
    </row>
    <row r="859" spans="15:30" x14ac:dyDescent="0.45">
      <c r="O859" s="98"/>
      <c r="T859" s="250"/>
      <c r="U859" s="252">
        <f t="shared" si="251"/>
        <v>44804</v>
      </c>
      <c r="V859" s="6"/>
      <c r="W859" s="580">
        <v>555899</v>
      </c>
      <c r="X859" s="581"/>
      <c r="Y859" s="44">
        <v>3.0000000000000001E-3</v>
      </c>
      <c r="Z859" s="581"/>
      <c r="AA859" s="582">
        <f t="shared" ref="AA859" si="264">+W858-W859</f>
        <v>-65144</v>
      </c>
      <c r="AB859" s="581"/>
      <c r="AC859" s="583"/>
      <c r="AD859" s="251"/>
    </row>
    <row r="860" spans="15:30" x14ac:dyDescent="0.45">
      <c r="O860" s="98"/>
      <c r="T860" s="250"/>
      <c r="U860" s="252">
        <f t="shared" si="251"/>
        <v>44805</v>
      </c>
      <c r="V860" s="6"/>
      <c r="W860" s="580">
        <v>612400</v>
      </c>
      <c r="X860" s="581"/>
      <c r="Y860" s="44">
        <v>3.0000000000000001E-3</v>
      </c>
      <c r="Z860" s="581"/>
      <c r="AA860" s="582">
        <f t="shared" ref="AA860" si="265">+W859-W860</f>
        <v>-56501</v>
      </c>
      <c r="AB860" s="581"/>
      <c r="AC860" s="583"/>
      <c r="AD860" s="251"/>
    </row>
    <row r="861" spans="15:30" x14ac:dyDescent="0.45">
      <c r="O861" s="98"/>
      <c r="T861" s="250"/>
      <c r="U861" s="252">
        <f t="shared" si="251"/>
        <v>44806</v>
      </c>
      <c r="V861" s="6"/>
      <c r="W861" s="580">
        <v>639177</v>
      </c>
      <c r="X861" s="581"/>
      <c r="Y861" s="44">
        <v>3.0000000000000001E-3</v>
      </c>
      <c r="Z861" s="581"/>
      <c r="AA861" s="582">
        <f t="shared" ref="AA861" si="266">+W860-W861</f>
        <v>-26777</v>
      </c>
      <c r="AB861" s="581"/>
      <c r="AC861" s="583"/>
      <c r="AD861" s="251"/>
    </row>
    <row r="862" spans="15:30" x14ac:dyDescent="0.45">
      <c r="O862" s="98"/>
      <c r="T862" s="250"/>
      <c r="U862" s="252">
        <f t="shared" si="251"/>
        <v>44807</v>
      </c>
      <c r="V862" s="6"/>
      <c r="W862" s="580">
        <v>609768</v>
      </c>
      <c r="X862" s="581"/>
      <c r="Y862" s="44">
        <v>3.0000000000000001E-3</v>
      </c>
      <c r="Z862" s="581"/>
      <c r="AA862" s="582">
        <f t="shared" ref="AA862" si="267">+W861-W862</f>
        <v>29409</v>
      </c>
      <c r="AB862" s="581"/>
      <c r="AC862" s="583"/>
      <c r="AD862" s="251"/>
    </row>
    <row r="863" spans="15:30" x14ac:dyDescent="0.45">
      <c r="O863" s="98"/>
      <c r="T863" s="250"/>
      <c r="U863" s="573">
        <f t="shared" si="251"/>
        <v>44808</v>
      </c>
      <c r="V863" s="6"/>
      <c r="W863" s="580">
        <f>+I$36</f>
        <v>536588</v>
      </c>
      <c r="X863" s="581"/>
      <c r="Y863" s="44">
        <v>3.0000000000000001E-3</v>
      </c>
      <c r="Z863" s="581"/>
      <c r="AA863" s="582">
        <f t="shared" ref="AA863" si="268">+W862-W863</f>
        <v>73180</v>
      </c>
      <c r="AB863" s="581"/>
      <c r="AC863" s="583"/>
      <c r="AD863" s="251"/>
    </row>
    <row r="864" spans="15:30" x14ac:dyDescent="0.45">
      <c r="O864" s="98"/>
      <c r="T864" s="250"/>
      <c r="U864" s="252">
        <f t="shared" si="251"/>
        <v>44809</v>
      </c>
      <c r="V864" s="6"/>
      <c r="W864" s="580"/>
      <c r="X864" s="581"/>
      <c r="Y864" s="44"/>
      <c r="Z864" s="581"/>
      <c r="AA864" s="582"/>
      <c r="AB864" s="581"/>
      <c r="AC864" s="583"/>
      <c r="AD864" s="251"/>
    </row>
    <row r="865" spans="5:36" x14ac:dyDescent="0.45">
      <c r="O865" s="98"/>
      <c r="T865" s="250"/>
      <c r="U865" s="252">
        <f t="shared" si="251"/>
        <v>44810</v>
      </c>
      <c r="V865" s="6"/>
      <c r="W865" s="580"/>
      <c r="X865" s="581"/>
      <c r="Y865" s="44"/>
      <c r="Z865" s="581"/>
      <c r="AA865" s="582"/>
      <c r="AB865" s="581"/>
      <c r="AC865" s="583"/>
      <c r="AD865" s="251"/>
    </row>
    <row r="866" spans="5:36" x14ac:dyDescent="0.45">
      <c r="O866" s="98"/>
      <c r="T866" s="250"/>
      <c r="U866" s="252">
        <f t="shared" si="251"/>
        <v>44811</v>
      </c>
      <c r="V866" s="6"/>
      <c r="W866" s="580"/>
      <c r="X866" s="581"/>
      <c r="Y866" s="44"/>
      <c r="Z866" s="581"/>
      <c r="AA866" s="582"/>
      <c r="AB866" s="581"/>
      <c r="AC866" s="583"/>
      <c r="AD866" s="251"/>
    </row>
    <row r="867" spans="5:36" x14ac:dyDescent="0.45">
      <c r="O867" s="98"/>
      <c r="T867" s="250"/>
      <c r="U867" s="252">
        <f t="shared" si="251"/>
        <v>44812</v>
      </c>
      <c r="V867" s="6"/>
      <c r="W867" s="580"/>
      <c r="X867" s="581"/>
      <c r="Y867" s="44"/>
      <c r="Z867" s="581"/>
      <c r="AA867" s="582"/>
      <c r="AB867" s="581"/>
      <c r="AC867" s="583"/>
      <c r="AD867" s="251"/>
    </row>
    <row r="868" spans="5:36" x14ac:dyDescent="0.45">
      <c r="O868" s="98"/>
      <c r="T868" s="250"/>
      <c r="U868" s="252">
        <f t="shared" si="251"/>
        <v>44813</v>
      </c>
      <c r="V868" s="6"/>
      <c r="W868" s="253"/>
      <c r="X868" s="6"/>
      <c r="Y868" s="44"/>
      <c r="Z868" s="6"/>
      <c r="AA868" s="254"/>
      <c r="AB868" s="6"/>
      <c r="AC868" s="258"/>
      <c r="AD868" s="251"/>
    </row>
    <row r="869" spans="5:36" ht="14.65" thickBot="1" x14ac:dyDescent="0.5">
      <c r="O869" s="98"/>
      <c r="T869" s="255"/>
      <c r="U869" s="350">
        <f>+U868+1</f>
        <v>44814</v>
      </c>
      <c r="V869" s="247"/>
      <c r="W869" s="351"/>
      <c r="X869" s="247"/>
      <c r="Y869" s="256"/>
      <c r="Z869" s="247"/>
      <c r="AA869" s="352"/>
      <c r="AB869" s="247"/>
      <c r="AC869" s="353"/>
      <c r="AD869" s="257"/>
    </row>
    <row r="870" spans="5:36" x14ac:dyDescent="0.45">
      <c r="O870" s="98"/>
    </row>
    <row r="871" spans="5:36" x14ac:dyDescent="0.45">
      <c r="O871" s="98"/>
      <c r="P871" s="57"/>
      <c r="Q871" s="57"/>
      <c r="R871" s="57"/>
      <c r="W871" s="56"/>
    </row>
    <row r="872" spans="5:36" x14ac:dyDescent="0.45">
      <c r="O872" s="98"/>
    </row>
    <row r="873" spans="5:36" ht="14.65" thickBot="1" x14ac:dyDescent="0.5">
      <c r="O873" s="98"/>
    </row>
    <row r="874" spans="5:36" ht="15" thickTop="1" thickBot="1" x14ac:dyDescent="0.5">
      <c r="Q874" s="441"/>
      <c r="R874" s="442"/>
      <c r="S874" s="442"/>
      <c r="T874" s="442"/>
      <c r="U874" s="442"/>
      <c r="V874" s="442"/>
      <c r="W874" s="442"/>
      <c r="X874" s="442"/>
      <c r="Y874" s="442"/>
      <c r="Z874" s="442"/>
      <c r="AA874" s="442"/>
      <c r="AB874" s="443"/>
    </row>
    <row r="875" spans="5:36" ht="14.65" thickBot="1" x14ac:dyDescent="0.5">
      <c r="E875" s="675" t="s">
        <v>106</v>
      </c>
      <c r="F875" s="676"/>
      <c r="G875" s="676"/>
      <c r="H875" s="676"/>
      <c r="I875" s="676"/>
      <c r="J875" s="676"/>
      <c r="K875" s="676"/>
      <c r="L875" s="676"/>
      <c r="M875" s="677"/>
      <c r="Q875" s="444"/>
      <c r="R875" s="6"/>
      <c r="S875" s="6"/>
      <c r="T875" s="6"/>
      <c r="U875" s="5" t="s">
        <v>132</v>
      </c>
      <c r="V875" s="5"/>
      <c r="W875" s="5"/>
      <c r="X875" s="5"/>
      <c r="Y875" s="5"/>
      <c r="Z875" s="5"/>
      <c r="AA875" s="5" t="s">
        <v>28</v>
      </c>
      <c r="AB875" s="445"/>
    </row>
    <row r="876" spans="5:36" x14ac:dyDescent="0.45">
      <c r="E876" s="395"/>
      <c r="F876" s="396" t="s">
        <v>107</v>
      </c>
      <c r="G876" s="396"/>
      <c r="H876" s="396"/>
      <c r="I876" s="678">
        <v>21477737</v>
      </c>
      <c r="J876" s="678"/>
      <c r="K876" s="678"/>
      <c r="L876" s="678"/>
      <c r="M876" s="397"/>
      <c r="Q876" s="444"/>
      <c r="R876" s="437" t="s">
        <v>134</v>
      </c>
      <c r="S876" s="6"/>
      <c r="T876" s="6"/>
      <c r="U876" s="437" t="s">
        <v>133</v>
      </c>
      <c r="V876" s="5"/>
      <c r="W876" s="437" t="s">
        <v>20</v>
      </c>
      <c r="X876" s="5"/>
      <c r="Y876" s="437" t="s">
        <v>4</v>
      </c>
      <c r="Z876" s="5"/>
      <c r="AA876" s="446" t="s">
        <v>131</v>
      </c>
      <c r="AB876" s="445"/>
    </row>
    <row r="877" spans="5:36" x14ac:dyDescent="0.45">
      <c r="E877" s="395"/>
      <c r="F877" s="396" t="s">
        <v>97</v>
      </c>
      <c r="G877" s="396"/>
      <c r="H877" s="396"/>
      <c r="I877" s="396"/>
      <c r="J877" s="396"/>
      <c r="K877" s="396"/>
      <c r="L877" s="398">
        <f>+I889/I876</f>
        <v>4.5847474526762295E-4</v>
      </c>
      <c r="M877" s="397"/>
      <c r="Q877" s="444"/>
      <c r="R877" s="6" t="s">
        <v>121</v>
      </c>
      <c r="S877" s="6"/>
      <c r="T877" s="6"/>
      <c r="U877" s="7">
        <v>2003</v>
      </c>
      <c r="V877" s="6"/>
      <c r="W877" s="7">
        <v>389666</v>
      </c>
      <c r="X877" s="6"/>
      <c r="Y877" s="7">
        <v>31257</v>
      </c>
      <c r="Z877" s="6"/>
      <c r="AA877" s="253">
        <f>+AJ877</f>
        <v>19500</v>
      </c>
      <c r="AB877" s="445"/>
      <c r="AJ877" s="1">
        <v>19500</v>
      </c>
    </row>
    <row r="878" spans="5:36" x14ac:dyDescent="0.45">
      <c r="E878" s="395"/>
      <c r="F878" s="679" t="s">
        <v>95</v>
      </c>
      <c r="G878" s="679"/>
      <c r="H878" s="396"/>
      <c r="I878" s="396"/>
      <c r="J878" s="396"/>
      <c r="K878" s="396"/>
      <c r="L878" s="399">
        <f>+I889/(I876/100000)</f>
        <v>45.847474526762298</v>
      </c>
      <c r="M878" s="397"/>
      <c r="Q878" s="444"/>
      <c r="R878" s="6" t="s">
        <v>122</v>
      </c>
      <c r="S878" s="6"/>
      <c r="T878" s="6"/>
      <c r="U878" s="7">
        <v>1913</v>
      </c>
      <c r="V878" s="6"/>
      <c r="W878" s="7">
        <v>169892</v>
      </c>
      <c r="X878" s="6"/>
      <c r="Y878" s="7">
        <v>13076</v>
      </c>
      <c r="Z878" s="6"/>
      <c r="AA878" s="253">
        <f t="shared" ref="AA878:AA886" si="269">+AJ878</f>
        <v>8900</v>
      </c>
      <c r="AB878" s="445"/>
      <c r="AJ878" s="1">
        <v>8900</v>
      </c>
    </row>
    <row r="879" spans="5:36" x14ac:dyDescent="0.45">
      <c r="E879" s="395"/>
      <c r="F879" s="400"/>
      <c r="G879" s="400"/>
      <c r="H879" s="396"/>
      <c r="I879" s="396"/>
      <c r="J879" s="396"/>
      <c r="K879" s="396"/>
      <c r="L879" s="399"/>
      <c r="M879" s="397"/>
      <c r="Q879" s="444"/>
      <c r="R879" s="6" t="s">
        <v>123</v>
      </c>
      <c r="S879" s="6"/>
      <c r="T879" s="6"/>
      <c r="U879" s="7">
        <v>1568</v>
      </c>
      <c r="V879" s="6"/>
      <c r="W879" s="7">
        <v>16606</v>
      </c>
      <c r="X879" s="6"/>
      <c r="Y879" s="7">
        <v>912</v>
      </c>
      <c r="Z879" s="6"/>
      <c r="AA879" s="253">
        <f t="shared" si="269"/>
        <v>1100</v>
      </c>
      <c r="AB879" s="445"/>
      <c r="AJ879" s="1">
        <v>1100</v>
      </c>
    </row>
    <row r="880" spans="5:36" x14ac:dyDescent="0.45">
      <c r="E880" s="395"/>
      <c r="F880" s="400" t="s">
        <v>108</v>
      </c>
      <c r="G880" s="400"/>
      <c r="H880" s="679" t="s">
        <v>109</v>
      </c>
      <c r="I880" s="679"/>
      <c r="J880" s="396"/>
      <c r="K880" s="396"/>
      <c r="L880" s="399"/>
      <c r="M880" s="397"/>
      <c r="Q880" s="444"/>
      <c r="R880" s="6" t="s">
        <v>56</v>
      </c>
      <c r="S880" s="6"/>
      <c r="T880" s="6"/>
      <c r="U880" s="7">
        <v>1561</v>
      </c>
      <c r="V880" s="6"/>
      <c r="W880" s="7">
        <v>107611</v>
      </c>
      <c r="X880" s="6"/>
      <c r="Y880" s="7">
        <v>7937</v>
      </c>
      <c r="Z880" s="6"/>
      <c r="AA880" s="253">
        <f t="shared" si="269"/>
        <v>7000</v>
      </c>
      <c r="AB880" s="445"/>
      <c r="AJ880" s="1">
        <v>7000</v>
      </c>
    </row>
    <row r="881" spans="4:36" ht="14.65" thickBot="1" x14ac:dyDescent="0.5">
      <c r="E881" s="401"/>
      <c r="F881" s="402"/>
      <c r="G881" s="402"/>
      <c r="H881" s="402"/>
      <c r="I881" s="402"/>
      <c r="J881" s="402"/>
      <c r="K881" s="402"/>
      <c r="L881" s="402"/>
      <c r="M881" s="403"/>
      <c r="Q881" s="444"/>
      <c r="R881" s="6" t="s">
        <v>128</v>
      </c>
      <c r="S881" s="6"/>
      <c r="T881" s="6"/>
      <c r="U881" s="7">
        <v>1435</v>
      </c>
      <c r="V881" s="6"/>
      <c r="W881" s="7">
        <v>10128</v>
      </c>
      <c r="X881" s="6"/>
      <c r="Y881" s="7">
        <v>541</v>
      </c>
      <c r="Z881" s="6"/>
      <c r="AA881" s="253">
        <f t="shared" si="269"/>
        <v>700</v>
      </c>
      <c r="AB881" s="445"/>
      <c r="AJ881" s="1">
        <v>700</v>
      </c>
    </row>
    <row r="882" spans="4:36" x14ac:dyDescent="0.45">
      <c r="Q882" s="444"/>
      <c r="R882" s="6" t="s">
        <v>124</v>
      </c>
      <c r="S882" s="6"/>
      <c r="T882" s="6"/>
      <c r="U882" s="7">
        <v>1288</v>
      </c>
      <c r="V882" s="6"/>
      <c r="W882" s="7">
        <v>45913</v>
      </c>
      <c r="X882" s="6"/>
      <c r="Y882" s="7">
        <v>4287</v>
      </c>
      <c r="Z882" s="6"/>
      <c r="AA882" s="253">
        <f t="shared" si="269"/>
        <v>3600</v>
      </c>
      <c r="AB882" s="445"/>
      <c r="AJ882" s="1">
        <v>3600</v>
      </c>
    </row>
    <row r="883" spans="4:36" ht="14.65" thickBot="1" x14ac:dyDescent="0.5">
      <c r="D883" s="78"/>
      <c r="E883" s="139"/>
      <c r="F883" s="139"/>
      <c r="G883" s="139"/>
      <c r="H883" s="139"/>
      <c r="I883" s="310"/>
      <c r="J883" s="78"/>
      <c r="K883" s="98"/>
      <c r="L883" s="98"/>
      <c r="M883" s="98"/>
      <c r="N883" s="98"/>
      <c r="Q883" s="444"/>
      <c r="R883" s="6" t="s">
        <v>129</v>
      </c>
      <c r="S883" s="6"/>
      <c r="T883" s="6"/>
      <c r="U883" s="7">
        <v>1129</v>
      </c>
      <c r="V883" s="6"/>
      <c r="W883" s="7">
        <v>52477</v>
      </c>
      <c r="X883" s="6"/>
      <c r="Y883" s="7">
        <v>3152</v>
      </c>
      <c r="Z883" s="6"/>
      <c r="AA883" s="253">
        <f t="shared" si="269"/>
        <v>4600</v>
      </c>
      <c r="AB883" s="445"/>
      <c r="AJ883" s="1">
        <v>4600</v>
      </c>
    </row>
    <row r="884" spans="4:36" ht="16.149999999999999" thickBot="1" x14ac:dyDescent="0.55000000000000004">
      <c r="D884" s="381"/>
      <c r="E884" s="680" t="s">
        <v>119</v>
      </c>
      <c r="F884" s="681"/>
      <c r="G884" s="681"/>
      <c r="H884" s="681"/>
      <c r="I884" s="681"/>
      <c r="J884" s="682"/>
      <c r="K884" s="382"/>
      <c r="L884" s="394" t="s">
        <v>10</v>
      </c>
      <c r="M884" s="383"/>
      <c r="N884" s="98"/>
      <c r="Q884" s="444"/>
      <c r="R884" s="6" t="s">
        <v>125</v>
      </c>
      <c r="S884" s="6"/>
      <c r="T884" s="6"/>
      <c r="U884" s="7">
        <v>1118</v>
      </c>
      <c r="V884" s="6"/>
      <c r="W884" s="7">
        <v>10889</v>
      </c>
      <c r="X884" s="6"/>
      <c r="Y884" s="7">
        <v>505</v>
      </c>
      <c r="Z884" s="6"/>
      <c r="AA884" s="253">
        <f t="shared" si="269"/>
        <v>980</v>
      </c>
      <c r="AB884" s="445"/>
      <c r="AJ884" s="1">
        <v>980</v>
      </c>
    </row>
    <row r="885" spans="4:36" x14ac:dyDescent="0.45">
      <c r="D885" s="360"/>
      <c r="E885" s="384" t="s">
        <v>75</v>
      </c>
      <c r="F885" s="16"/>
      <c r="G885" s="16"/>
      <c r="H885" s="16"/>
      <c r="I885" s="683">
        <f>+K81</f>
        <v>48675</v>
      </c>
      <c r="J885" s="683"/>
      <c r="K885" s="16"/>
      <c r="L885" s="60">
        <f>+I885/$I$885</f>
        <v>1</v>
      </c>
      <c r="M885" s="385"/>
      <c r="N885" s="98"/>
      <c r="Q885" s="444"/>
      <c r="R885" s="6" t="s">
        <v>126</v>
      </c>
      <c r="S885" s="6"/>
      <c r="T885" s="6"/>
      <c r="U885" s="7">
        <v>1093</v>
      </c>
      <c r="V885" s="6"/>
      <c r="W885" s="7">
        <v>138546</v>
      </c>
      <c r="X885" s="6"/>
      <c r="Y885" s="7">
        <v>6770</v>
      </c>
      <c r="Z885" s="6"/>
      <c r="AA885" s="253">
        <f t="shared" si="269"/>
        <v>12700</v>
      </c>
      <c r="AB885" s="445"/>
      <c r="AJ885" s="1">
        <v>12700</v>
      </c>
    </row>
    <row r="886" spans="4:36" x14ac:dyDescent="0.45">
      <c r="D886" s="360"/>
      <c r="E886" s="384"/>
      <c r="F886" s="16"/>
      <c r="G886" s="16"/>
      <c r="H886" s="16"/>
      <c r="I886" s="16"/>
      <c r="J886" s="16"/>
      <c r="K886" s="16"/>
      <c r="L886" s="16"/>
      <c r="M886" s="385"/>
      <c r="N886" s="98"/>
      <c r="Q886" s="444"/>
      <c r="R886" s="6" t="s">
        <v>127</v>
      </c>
      <c r="S886" s="6"/>
      <c r="T886" s="6"/>
      <c r="U886" s="447">
        <v>1081</v>
      </c>
      <c r="V886" s="6"/>
      <c r="W886" s="447">
        <v>65337</v>
      </c>
      <c r="X886" s="6"/>
      <c r="Y886" s="447">
        <v>3108</v>
      </c>
      <c r="Z886" s="6"/>
      <c r="AA886" s="448">
        <f t="shared" si="269"/>
        <v>6100</v>
      </c>
      <c r="AB886" s="445"/>
      <c r="AJ886" s="439">
        <v>6100</v>
      </c>
    </row>
    <row r="887" spans="4:36" x14ac:dyDescent="0.45">
      <c r="D887" s="372"/>
      <c r="E887" s="15"/>
      <c r="F887" s="386" t="s">
        <v>100</v>
      </c>
      <c r="G887" s="386"/>
      <c r="H887" s="15"/>
      <c r="I887" s="684">
        <f>+I81</f>
        <v>36684</v>
      </c>
      <c r="J887" s="685"/>
      <c r="K887" s="15"/>
      <c r="L887" s="60">
        <f>+I887/$I$885</f>
        <v>0.75365177195685673</v>
      </c>
      <c r="M887" s="365"/>
      <c r="N887" s="98"/>
      <c r="Q887" s="444"/>
      <c r="R887" s="5" t="s">
        <v>31</v>
      </c>
      <c r="S887" s="6"/>
      <c r="T887" s="6"/>
      <c r="U887" s="253">
        <f>+W887/(AA887/100)</f>
        <v>1545.0521632402579</v>
      </c>
      <c r="V887" s="6"/>
      <c r="W887" s="253">
        <f>SUM(W877:W886)</f>
        <v>1007065</v>
      </c>
      <c r="X887" s="6"/>
      <c r="Y887" s="253">
        <f>SUM(Y877:Y886)</f>
        <v>71545</v>
      </c>
      <c r="Z887" s="6"/>
      <c r="AA887" s="253">
        <f>SUM(AA877:AA886)</f>
        <v>65180</v>
      </c>
      <c r="AB887" s="445"/>
      <c r="AJ887" s="56">
        <f>SUM(AJ877:AJ886)</f>
        <v>65180</v>
      </c>
    </row>
    <row r="888" spans="4:36" x14ac:dyDescent="0.45">
      <c r="D888" s="372"/>
      <c r="E888" s="15"/>
      <c r="F888" s="15" t="s">
        <v>76</v>
      </c>
      <c r="G888" s="15"/>
      <c r="H888" s="15"/>
      <c r="I888" s="686">
        <f>+I75</f>
        <v>2144</v>
      </c>
      <c r="J888" s="687"/>
      <c r="K888" s="15"/>
      <c r="L888" s="60">
        <f>+I888/$I$885</f>
        <v>4.4047252182845401E-2</v>
      </c>
      <c r="M888" s="365"/>
      <c r="N888" s="98"/>
      <c r="Q888" s="444"/>
      <c r="R888" s="5"/>
      <c r="S888" s="6"/>
      <c r="T888" s="6"/>
      <c r="U888" s="6"/>
      <c r="V888" s="6"/>
      <c r="W888" s="253"/>
      <c r="X888" s="6"/>
      <c r="Y888" s="253"/>
      <c r="Z888" s="6"/>
      <c r="AA888" s="6"/>
      <c r="AB888" s="445"/>
      <c r="AJ888" s="56"/>
    </row>
    <row r="889" spans="4:36" ht="14.65" thickBot="1" x14ac:dyDescent="0.5">
      <c r="D889" s="372"/>
      <c r="E889" s="672" t="s">
        <v>101</v>
      </c>
      <c r="F889" s="672"/>
      <c r="G889" s="672"/>
      <c r="H889" s="15"/>
      <c r="I889" s="673">
        <f>+I885-I887-I888</f>
        <v>9847</v>
      </c>
      <c r="J889" s="674"/>
      <c r="K889" s="387"/>
      <c r="L889" s="388">
        <f>+I889/$I$885</f>
        <v>0.20230097586029788</v>
      </c>
      <c r="M889" s="365"/>
      <c r="N889" s="98"/>
      <c r="Q889" s="444"/>
      <c r="R889" s="5" t="s">
        <v>57</v>
      </c>
      <c r="S889" s="6"/>
      <c r="T889" s="6"/>
      <c r="U889" s="7">
        <v>7441</v>
      </c>
      <c r="V889" s="6"/>
      <c r="W889" s="7">
        <f>+'Main Table'!H106</f>
        <v>3029734</v>
      </c>
      <c r="X889" s="6"/>
      <c r="Y889" s="7">
        <f>+'Main Table'!AA106</f>
        <v>129682</v>
      </c>
      <c r="Z889" s="6"/>
      <c r="AA889" s="253">
        <f>+AJ889</f>
        <v>333000</v>
      </c>
      <c r="AB889" s="445"/>
      <c r="AJ889" s="56">
        <v>333000</v>
      </c>
    </row>
    <row r="890" spans="4:36" ht="15" thickTop="1" thickBot="1" x14ac:dyDescent="0.5">
      <c r="D890" s="372"/>
      <c r="E890" s="389"/>
      <c r="F890" s="389"/>
      <c r="G890" s="389"/>
      <c r="H890" s="15"/>
      <c r="I890" s="390"/>
      <c r="J890" s="389"/>
      <c r="K890" s="387"/>
      <c r="L890" s="391"/>
      <c r="M890" s="365"/>
      <c r="N890" s="98"/>
      <c r="Q890" s="444"/>
      <c r="R890" s="5" t="s">
        <v>130</v>
      </c>
      <c r="S890" s="6"/>
      <c r="T890" s="6"/>
      <c r="U890" s="449"/>
      <c r="V890" s="6"/>
      <c r="W890" s="450">
        <f>+W887/W889</f>
        <v>0.33239386692033029</v>
      </c>
      <c r="X890" s="6"/>
      <c r="Y890" s="450">
        <f>+Y887/Y889</f>
        <v>0.55169568637127742</v>
      </c>
      <c r="Z890" s="6"/>
      <c r="AA890" s="450">
        <f>+AA887/AA889</f>
        <v>0.19573573573573574</v>
      </c>
      <c r="AB890" s="445"/>
      <c r="AJ890" s="440">
        <f>+AJ887/AJ889</f>
        <v>0.19573573573573574</v>
      </c>
    </row>
    <row r="891" spans="4:36" ht="15" thickTop="1" thickBot="1" x14ac:dyDescent="0.5">
      <c r="D891" s="392"/>
      <c r="E891" s="393"/>
      <c r="F891" s="393"/>
      <c r="G891" s="393"/>
      <c r="H891" s="393"/>
      <c r="I891" s="393"/>
      <c r="J891" s="393"/>
      <c r="K891" s="393"/>
      <c r="L891" s="393"/>
      <c r="M891" s="380"/>
      <c r="N891" s="98"/>
      <c r="Q891" s="451"/>
      <c r="R891" s="452"/>
      <c r="S891" s="452"/>
      <c r="T891" s="452"/>
      <c r="U891" s="452"/>
      <c r="V891" s="452"/>
      <c r="W891" s="452"/>
      <c r="X891" s="452"/>
      <c r="Y891" s="452"/>
      <c r="Z891" s="452"/>
      <c r="AA891" s="452"/>
      <c r="AB891" s="453"/>
    </row>
    <row r="895" spans="4:36" x14ac:dyDescent="0.45">
      <c r="F895" s="1">
        <v>1248371</v>
      </c>
    </row>
    <row r="896" spans="4:36" x14ac:dyDescent="0.45">
      <c r="W896" s="1"/>
    </row>
    <row r="897" spans="6:6" x14ac:dyDescent="0.45">
      <c r="F897">
        <v>700</v>
      </c>
    </row>
    <row r="898" spans="6:6" x14ac:dyDescent="0.45">
      <c r="F898" s="76">
        <f>+F897/F895</f>
        <v>5.6073074430597954E-4</v>
      </c>
    </row>
    <row r="900" spans="6:6" x14ac:dyDescent="0.45">
      <c r="F900" s="1">
        <v>60000</v>
      </c>
    </row>
    <row r="901" spans="6:6" x14ac:dyDescent="0.45">
      <c r="F901">
        <f>+F898*F900</f>
        <v>33.643844658358773</v>
      </c>
    </row>
    <row r="903" spans="6:6" x14ac:dyDescent="0.45">
      <c r="F903" s="1">
        <v>331000000</v>
      </c>
    </row>
    <row r="904" spans="6:6" x14ac:dyDescent="0.45">
      <c r="F904" s="56">
        <f>+W86</f>
        <v>811067</v>
      </c>
    </row>
    <row r="905" spans="6:6" x14ac:dyDescent="0.45">
      <c r="F905" s="57">
        <f>+F904/F903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89:G889"/>
    <mergeCell ref="I889:J889"/>
    <mergeCell ref="E875:M875"/>
    <mergeCell ref="I876:L876"/>
    <mergeCell ref="F878:G878"/>
    <mergeCell ref="E884:J884"/>
    <mergeCell ref="I885:J885"/>
    <mergeCell ref="I887:J887"/>
    <mergeCell ref="I888:J888"/>
    <mergeCell ref="H880:I88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2022-09-06T21:11:09Z</dcterms:modified>
</cp:coreProperties>
</file>