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E2EA2D82-8A35-40D3-B7E7-9F2474AD6347}" xr6:coauthVersionLast="47" xr6:coauthVersionMax="47" xr10:uidLastSave="{00000000-0000-0000-0000-000000000000}"/>
  <bookViews>
    <workbookView xWindow="-108" yWindow="-108" windowWidth="30936" windowHeight="16896" activeTab="2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Table'!$A$1:$CJ$560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559" i="1" l="1"/>
  <c r="BJ559" i="1"/>
  <c r="BH559" i="1"/>
  <c r="BD559" i="1"/>
  <c r="BB559" i="1"/>
  <c r="AZ559" i="1"/>
  <c r="AT559" i="1"/>
  <c r="AN559" i="1"/>
  <c r="AJ559" i="1"/>
  <c r="AF559" i="1"/>
  <c r="AD559" i="1"/>
  <c r="AB559" i="1"/>
  <c r="X559" i="1"/>
  <c r="V559" i="1"/>
  <c r="T559" i="1"/>
  <c r="P559" i="1"/>
  <c r="L559" i="1"/>
  <c r="BO558" i="1"/>
  <c r="BO559" i="1" s="1"/>
  <c r="BL558" i="1"/>
  <c r="BJ558" i="1"/>
  <c r="BI558" i="1"/>
  <c r="BI559" i="1" s="1"/>
  <c r="BH558" i="1"/>
  <c r="BF558" i="1"/>
  <c r="BF559" i="1" s="1"/>
  <c r="BE558" i="1"/>
  <c r="BE559" i="1" s="1"/>
  <c r="BD558" i="1"/>
  <c r="BC558" i="1"/>
  <c r="BC559" i="1" s="1"/>
  <c r="BB558" i="1"/>
  <c r="AZ558" i="1"/>
  <c r="AY558" i="1"/>
  <c r="AY559" i="1" s="1"/>
  <c r="AW558" i="1"/>
  <c r="AW559" i="1" s="1"/>
  <c r="AU558" i="1"/>
  <c r="AU559" i="1" s="1"/>
  <c r="AT558" i="1"/>
  <c r="AS558" i="1"/>
  <c r="AS559" i="1" s="1"/>
  <c r="AQ558" i="1"/>
  <c r="AQ559" i="1" s="1"/>
  <c r="AP558" i="1"/>
  <c r="AP559" i="1" s="1"/>
  <c r="AO558" i="1"/>
  <c r="AO559" i="1" s="1"/>
  <c r="AN558" i="1"/>
  <c r="AM558" i="1"/>
  <c r="AM559" i="1" s="1"/>
  <c r="AL558" i="1"/>
  <c r="AL559" i="1" s="1"/>
  <c r="AK558" i="1"/>
  <c r="AK559" i="1" s="1"/>
  <c r="AJ558" i="1"/>
  <c r="AF558" i="1"/>
  <c r="AE558" i="1"/>
  <c r="AE559" i="1" s="1"/>
  <c r="AD558" i="1"/>
  <c r="AB558" i="1"/>
  <c r="Y558" i="1"/>
  <c r="Y559" i="1" s="1"/>
  <c r="X558" i="1"/>
  <c r="W558" i="1"/>
  <c r="W559" i="1" s="1"/>
  <c r="V558" i="1"/>
  <c r="U558" i="1"/>
  <c r="U559" i="1" s="1"/>
  <c r="T558" i="1"/>
  <c r="R558" i="1"/>
  <c r="R559" i="1" s="1"/>
  <c r="Q558" i="1"/>
  <c r="Q559" i="1" s="1"/>
  <c r="P558" i="1"/>
  <c r="M558" i="1"/>
  <c r="M559" i="1" s="1"/>
  <c r="L558" i="1"/>
  <c r="K558" i="1"/>
  <c r="K559" i="1" s="1"/>
  <c r="J558" i="1"/>
  <c r="J559" i="1" s="1"/>
  <c r="I558" i="1"/>
  <c r="I559" i="1" s="1"/>
  <c r="D558" i="1"/>
  <c r="D559" i="1" s="1"/>
  <c r="BW551" i="1"/>
  <c r="BN551" i="1" s="1"/>
  <c r="BN558" i="1" s="1"/>
  <c r="BE551" i="1"/>
  <c r="BP551" i="1" s="1"/>
  <c r="BA551" i="1"/>
  <c r="AX551" i="1"/>
  <c r="AX558" i="1" s="1"/>
  <c r="AX559" i="1" s="1"/>
  <c r="AL551" i="1"/>
  <c r="AR551" i="1" s="1"/>
  <c r="AR558" i="1" s="1"/>
  <c r="AR559" i="1" s="1"/>
  <c r="AG551" i="1"/>
  <c r="AI551" i="1" s="1"/>
  <c r="AI558" i="1" s="1"/>
  <c r="AI559" i="1" s="1"/>
  <c r="AA551" i="1"/>
  <c r="AE551" i="1" s="1"/>
  <c r="Z551" i="1"/>
  <c r="Z558" i="1" s="1"/>
  <c r="Z559" i="1" s="1"/>
  <c r="V551" i="1"/>
  <c r="Q551" i="1"/>
  <c r="N551" i="1"/>
  <c r="N558" i="1" s="1"/>
  <c r="N559" i="1" s="1"/>
  <c r="J551" i="1"/>
  <c r="H551" i="1"/>
  <c r="AV551" i="1" s="1"/>
  <c r="AV558" i="1" s="1"/>
  <c r="AV559" i="1" s="1"/>
  <c r="I20" i="3"/>
  <c r="U506" i="3"/>
  <c r="U507" i="3" s="1"/>
  <c r="U508" i="3" s="1"/>
  <c r="U509" i="3" s="1"/>
  <c r="U510" i="3" s="1"/>
  <c r="BW550" i="1"/>
  <c r="BN550" i="1" s="1"/>
  <c r="BP550" i="1"/>
  <c r="BR550" i="1" s="1"/>
  <c r="BE550" i="1"/>
  <c r="BA550" i="1"/>
  <c r="BK550" i="1" s="1"/>
  <c r="AX550" i="1"/>
  <c r="AL550" i="1"/>
  <c r="AG550" i="1"/>
  <c r="AI550" i="1" s="1"/>
  <c r="AA550" i="1"/>
  <c r="AE550" i="1" s="1"/>
  <c r="Z550" i="1"/>
  <c r="V550" i="1"/>
  <c r="Q550" i="1"/>
  <c r="N550" i="1"/>
  <c r="J550" i="1"/>
  <c r="H550" i="1"/>
  <c r="AV550" i="1" s="1"/>
  <c r="BW549" i="1"/>
  <c r="AX549" i="1" s="1"/>
  <c r="BP549" i="1"/>
  <c r="BR549" i="1" s="1"/>
  <c r="BG549" i="1"/>
  <c r="BE549" i="1"/>
  <c r="BA549" i="1"/>
  <c r="BK549" i="1" s="1"/>
  <c r="AL549" i="1"/>
  <c r="AR549" i="1" s="1"/>
  <c r="AG549" i="1"/>
  <c r="AI549" i="1" s="1"/>
  <c r="AA549" i="1"/>
  <c r="AC549" i="1" s="1"/>
  <c r="Z549" i="1"/>
  <c r="V549" i="1"/>
  <c r="Q549" i="1"/>
  <c r="BM549" i="1" s="1"/>
  <c r="N549" i="1"/>
  <c r="J549" i="1"/>
  <c r="H549" i="1"/>
  <c r="AV549" i="1" s="1"/>
  <c r="B549" i="1"/>
  <c r="B550" i="1" s="1"/>
  <c r="B551" i="1" s="1"/>
  <c r="B552" i="1" s="1"/>
  <c r="B553" i="1" s="1"/>
  <c r="B554" i="1" s="1"/>
  <c r="B555" i="1" s="1"/>
  <c r="BE548" i="1"/>
  <c r="BA548" i="1"/>
  <c r="AL548" i="1"/>
  <c r="AR548" i="1" s="1"/>
  <c r="AG548" i="1"/>
  <c r="Z548" i="1"/>
  <c r="Q548" i="1"/>
  <c r="N548" i="1"/>
  <c r="BE547" i="1"/>
  <c r="BA547" i="1"/>
  <c r="AL547" i="1"/>
  <c r="AR547" i="1" s="1"/>
  <c r="AG547" i="1"/>
  <c r="Z547" i="1"/>
  <c r="Q547" i="1"/>
  <c r="N547" i="1"/>
  <c r="BE546" i="1"/>
  <c r="BA546" i="1"/>
  <c r="AL546" i="1"/>
  <c r="AR546" i="1" s="1"/>
  <c r="AG546" i="1"/>
  <c r="AI546" i="1" s="1"/>
  <c r="Z546" i="1"/>
  <c r="Q546" i="1"/>
  <c r="N546" i="1"/>
  <c r="BE545" i="1"/>
  <c r="BA545" i="1"/>
  <c r="AL545" i="1"/>
  <c r="AR545" i="1" s="1"/>
  <c r="AG545" i="1"/>
  <c r="Z545" i="1"/>
  <c r="Q545" i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S543" i="1" s="1"/>
  <c r="N543" i="1"/>
  <c r="BE542" i="1"/>
  <c r="BA542" i="1"/>
  <c r="BK548" i="1" s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AI536" i="1" s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U556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E556" i="2"/>
  <c r="S552" i="2"/>
  <c r="W552" i="2"/>
  <c r="K552" i="2"/>
  <c r="Q552" i="2" s="1"/>
  <c r="S551" i="2"/>
  <c r="W551" i="2"/>
  <c r="Q551" i="2"/>
  <c r="K551" i="2"/>
  <c r="M551" i="2" s="1"/>
  <c r="S550" i="2"/>
  <c r="W550" i="2"/>
  <c r="K550" i="2"/>
  <c r="Q550" i="2" s="1"/>
  <c r="S549" i="2"/>
  <c r="W537" i="2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K549" i="2"/>
  <c r="M549" i="2" s="1"/>
  <c r="S548" i="2"/>
  <c r="K548" i="2"/>
  <c r="Q548" i="2" s="1"/>
  <c r="S547" i="2"/>
  <c r="K547" i="2"/>
  <c r="Q547" i="2" s="1"/>
  <c r="C547" i="2"/>
  <c r="C548" i="2" s="1"/>
  <c r="C549" i="2" s="1"/>
  <c r="C550" i="2" s="1"/>
  <c r="C551" i="2" s="1"/>
  <c r="C552" i="2" s="1"/>
  <c r="C553" i="2" s="1"/>
  <c r="S546" i="2"/>
  <c r="K546" i="2"/>
  <c r="M546" i="2" s="1"/>
  <c r="S545" i="2"/>
  <c r="K545" i="2"/>
  <c r="S544" i="2"/>
  <c r="K544" i="2"/>
  <c r="Q544" i="2" s="1"/>
  <c r="S543" i="2"/>
  <c r="K543" i="2"/>
  <c r="S542" i="2"/>
  <c r="K542" i="2"/>
  <c r="S541" i="2"/>
  <c r="K541" i="2"/>
  <c r="M541" i="2" s="1"/>
  <c r="S540" i="2"/>
  <c r="K540" i="2"/>
  <c r="K539" i="2"/>
  <c r="K538" i="2"/>
  <c r="M538" i="2" s="1"/>
  <c r="S539" i="2"/>
  <c r="S538" i="2"/>
  <c r="S537" i="2"/>
  <c r="K537" i="2"/>
  <c r="M537" i="2" s="1"/>
  <c r="S536" i="2"/>
  <c r="K536" i="2"/>
  <c r="Q536" i="2" s="1"/>
  <c r="S535" i="2"/>
  <c r="K535" i="2"/>
  <c r="S534" i="2"/>
  <c r="K534" i="2"/>
  <c r="S533" i="2"/>
  <c r="K533" i="2"/>
  <c r="S532" i="2"/>
  <c r="K532" i="2"/>
  <c r="BA650" i="1"/>
  <c r="BQ558" i="1"/>
  <c r="BQ559" i="1" s="1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U530" i="2" s="1"/>
  <c r="S529" i="2"/>
  <c r="K529" i="2"/>
  <c r="S528" i="2"/>
  <c r="S527" i="2"/>
  <c r="S526" i="2"/>
  <c r="K528" i="2"/>
  <c r="K527" i="2"/>
  <c r="K526" i="2"/>
  <c r="S525" i="2"/>
  <c r="K525" i="2"/>
  <c r="BK551" i="1" l="1"/>
  <c r="BK558" i="1" s="1"/>
  <c r="BK559" i="1" s="1"/>
  <c r="BN559" i="1"/>
  <c r="BA558" i="1"/>
  <c r="BA559" i="1" s="1"/>
  <c r="AG558" i="1"/>
  <c r="AG559" i="1" s="1"/>
  <c r="AA558" i="1"/>
  <c r="AA559" i="1" s="1"/>
  <c r="BR551" i="1"/>
  <c r="BP558" i="1"/>
  <c r="BP559" i="1" s="1"/>
  <c r="H558" i="1"/>
  <c r="H559" i="1" s="1"/>
  <c r="AH551" i="1"/>
  <c r="AH558" i="1" s="1"/>
  <c r="AC551" i="1"/>
  <c r="AC558" i="1" s="1"/>
  <c r="AC559" i="1" s="1"/>
  <c r="O551" i="1"/>
  <c r="O558" i="1" s="1"/>
  <c r="O559" i="1" s="1"/>
  <c r="BG551" i="1"/>
  <c r="BG558" i="1" s="1"/>
  <c r="S551" i="1"/>
  <c r="S558" i="1" s="1"/>
  <c r="S559" i="1" s="1"/>
  <c r="BM550" i="1"/>
  <c r="BG550" i="1"/>
  <c r="AR550" i="1"/>
  <c r="AH550" i="1"/>
  <c r="AC550" i="1"/>
  <c r="O550" i="1"/>
  <c r="S550" i="1"/>
  <c r="AE549" i="1"/>
  <c r="AH549" i="1"/>
  <c r="O549" i="1"/>
  <c r="S549" i="1"/>
  <c r="BN549" i="1"/>
  <c r="AI540" i="1"/>
  <c r="AI547" i="1"/>
  <c r="BK546" i="1"/>
  <c r="BM546" i="1" s="1"/>
  <c r="AI538" i="1"/>
  <c r="BK547" i="1"/>
  <c r="S542" i="1"/>
  <c r="BK545" i="1"/>
  <c r="BM545" i="1" s="1"/>
  <c r="AI548" i="1"/>
  <c r="BM548" i="1"/>
  <c r="BG548" i="1"/>
  <c r="S548" i="1"/>
  <c r="BG547" i="1"/>
  <c r="S547" i="1"/>
  <c r="BG546" i="1"/>
  <c r="S546" i="1"/>
  <c r="AI545" i="1"/>
  <c r="BG545" i="1"/>
  <c r="S545" i="1"/>
  <c r="AI544" i="1"/>
  <c r="BK540" i="1"/>
  <c r="BK539" i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M540" i="1"/>
  <c r="BG540" i="1"/>
  <c r="S540" i="1"/>
  <c r="BM539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58" i="1" s="1"/>
  <c r="BM559" i="1" s="1"/>
  <c r="BG559" i="1"/>
  <c r="AH559" i="1"/>
  <c r="BM547" i="1"/>
  <c r="BM542" i="1"/>
  <c r="BM535" i="1"/>
  <c r="BM532" i="1"/>
  <c r="BM530" i="1"/>
  <c r="BA649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558" i="1"/>
  <c r="BU559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558" i="1"/>
  <c r="BV559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U501" i="2" s="1"/>
  <c r="S500" i="2"/>
  <c r="K500" i="2"/>
  <c r="S499" i="2"/>
  <c r="K499" i="2"/>
  <c r="S498" i="2"/>
  <c r="K498" i="2"/>
  <c r="S497" i="2"/>
  <c r="K497" i="2"/>
  <c r="U500" i="2" l="1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BM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K475" i="1" s="1"/>
  <c r="BM475" i="1" s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G470" i="1" l="1"/>
  <c r="BK474" i="1"/>
  <c r="BM474" i="1" s="1"/>
  <c r="BK476" i="1"/>
  <c r="BM476" i="1" s="1"/>
  <c r="BG471" i="1"/>
  <c r="CL684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531" i="3"/>
  <c r="AJ529" i="3"/>
  <c r="AJ532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648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570" i="1"/>
  <c r="D569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649" i="1"/>
  <c r="BG669" i="1"/>
  <c r="BG670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669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556" i="2"/>
  <c r="S357" i="2"/>
  <c r="AP684" i="1"/>
  <c r="BP670" i="1"/>
  <c r="BG671" i="1" s="1"/>
  <c r="BN667" i="1"/>
  <c r="BP667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648" i="1"/>
  <c r="BP648" i="1" s="1"/>
  <c r="BP650" i="1"/>
  <c r="BP651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671" i="1"/>
  <c r="BG672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668" i="1"/>
  <c r="BP668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672" i="1" l="1"/>
  <c r="BY672" i="1" s="1"/>
  <c r="BA652" i="1" s="1"/>
  <c r="Q358" i="2"/>
  <c r="M357" i="2"/>
  <c r="U357" i="2"/>
  <c r="M358" i="2"/>
  <c r="CL678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P675" i="1" l="1"/>
  <c r="BP677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643" i="1"/>
  <c r="N645" i="1" s="1"/>
  <c r="N646" i="1" l="1"/>
  <c r="D646" i="1" s="1"/>
  <c r="N647" i="1"/>
  <c r="N648" i="1"/>
  <c r="D647" i="1" l="1"/>
  <c r="D648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634" i="1"/>
  <c r="BG634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579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564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558" i="1"/>
  <c r="G559" i="1" s="1"/>
  <c r="F558" i="1"/>
  <c r="F559" i="1" s="1"/>
  <c r="E558" i="1"/>
  <c r="E559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582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579" i="1" l="1"/>
  <c r="AR578" i="1"/>
  <c r="AP578" i="1"/>
  <c r="AR577" i="1"/>
  <c r="AP577" i="1"/>
  <c r="AV577" i="1" l="1"/>
  <c r="AV578" i="1"/>
  <c r="AV579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623" i="1"/>
  <c r="N214" i="1"/>
  <c r="N204" i="1"/>
  <c r="BA622" i="1" s="1"/>
  <c r="N174" i="1"/>
  <c r="BA621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622" i="1" l="1"/>
  <c r="BE622" i="1" s="1"/>
  <c r="Q218" i="2"/>
  <c r="BC623" i="1"/>
  <c r="BE623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591" i="1"/>
  <c r="H591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610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563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561" i="1"/>
  <c r="BK564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611" i="1"/>
  <c r="AP612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606" i="1"/>
  <c r="H607" i="1"/>
  <c r="J607" i="1" s="1"/>
  <c r="H608" i="1"/>
  <c r="J608" i="1" s="1"/>
  <c r="S154" i="2"/>
  <c r="M156" i="2" l="1"/>
  <c r="Q156" i="2"/>
  <c r="O608" i="1"/>
  <c r="AI154" i="1"/>
  <c r="AI161" i="1"/>
  <c r="BK160" i="1"/>
  <c r="BM160" i="1" s="1"/>
  <c r="AR154" i="1"/>
  <c r="BG154" i="1"/>
  <c r="U155" i="2"/>
  <c r="J606" i="1"/>
  <c r="J613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609" i="1"/>
  <c r="AA608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546" i="3"/>
  <c r="F547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584" i="1" l="1"/>
  <c r="AR576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583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588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575" i="1" s="1"/>
  <c r="AH113" i="1"/>
  <c r="AP575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575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595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582" i="1"/>
  <c r="AP576" i="1" s="1"/>
  <c r="AV576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620" i="1"/>
  <c r="BC621" i="1" s="1"/>
  <c r="BE621" i="1" s="1"/>
  <c r="BE632" i="1"/>
  <c r="BE636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623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632" i="1" s="1"/>
  <c r="AL113" i="1"/>
  <c r="K114" i="2"/>
  <c r="BA636" i="1" l="1"/>
  <c r="BC634" i="1"/>
  <c r="BG632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528" i="3"/>
  <c r="AA527" i="3"/>
  <c r="AA526" i="3"/>
  <c r="AA525" i="3"/>
  <c r="AA524" i="3"/>
  <c r="AA523" i="3"/>
  <c r="AA522" i="3"/>
  <c r="AA521" i="3"/>
  <c r="AA520" i="3"/>
  <c r="AA519" i="3"/>
  <c r="Y529" i="3"/>
  <c r="W529" i="3"/>
  <c r="S107" i="2"/>
  <c r="AA529" i="3" l="1"/>
  <c r="AA532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529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540" i="3"/>
  <c r="F543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574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574" i="1"/>
  <c r="AV574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530" i="3" l="1"/>
  <c r="I527" i="3"/>
  <c r="L527" i="3" s="1"/>
  <c r="I78" i="3"/>
  <c r="I80" i="3" s="1"/>
  <c r="I77" i="3"/>
  <c r="BE64" i="1"/>
  <c r="BA64" i="1"/>
  <c r="AL64" i="1"/>
  <c r="AR64" i="1" s="1"/>
  <c r="K65" i="2"/>
  <c r="Y19" i="3"/>
  <c r="Q66" i="2" l="1"/>
  <c r="M66" i="2"/>
  <c r="L530" i="3"/>
  <c r="I79" i="3"/>
  <c r="I81" i="3" s="1"/>
  <c r="I82" i="3" s="1"/>
  <c r="BG64" i="1"/>
  <c r="U65" i="2"/>
  <c r="S64" i="2"/>
  <c r="N81" i="3" l="1"/>
  <c r="N82" i="3" s="1"/>
  <c r="I529" i="3"/>
  <c r="L529" i="3" s="1"/>
  <c r="K64" i="2"/>
  <c r="BE63" i="1"/>
  <c r="BA63" i="1"/>
  <c r="AL63" i="1"/>
  <c r="AR63" i="1" s="1"/>
  <c r="Y18" i="3"/>
  <c r="Q65" i="2" l="1"/>
  <c r="M65" i="2"/>
  <c r="I531" i="3"/>
  <c r="U64" i="2"/>
  <c r="BG63" i="1"/>
  <c r="L520" i="3" l="1"/>
  <c r="L531" i="3"/>
  <c r="L519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568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619" i="1"/>
  <c r="B622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573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581" i="1"/>
  <c r="AR583" i="1" s="1"/>
  <c r="AV583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573" i="1"/>
  <c r="AV573" i="1" s="1"/>
  <c r="BA579" i="1" s="1"/>
  <c r="BA580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554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C554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U480" i="3" l="1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U481" i="3" l="1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U485" i="3" l="1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U489" i="3" l="1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U494" i="3" l="1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U498" i="3" l="1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U502" i="3" l="1"/>
  <c r="U503" i="3" s="1"/>
  <c r="U504" i="3" s="1"/>
  <c r="U505" i="3" s="1"/>
  <c r="U511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462" i="1" l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473" i="1" l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B475" i="1" l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482" i="1" l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485" i="1" l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489" i="1" l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B495" i="1" l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499" i="1" l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504" i="1" l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509" i="1" l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513" i="1" l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B528" i="1" l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531" i="1" l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535" i="1" l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540" i="1" l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545" i="1" l="1"/>
  <c r="B546" i="1" s="1"/>
  <c r="B547" i="1" s="1"/>
  <c r="B548" i="1" s="1"/>
  <c r="B556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531" i="3"/>
  <c r="Y532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531" i="3"/>
  <c r="W532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592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645" i="1" s="1"/>
  <c r="O173" i="1"/>
  <c r="AV173" i="1"/>
  <c r="AC173" i="1"/>
  <c r="BE645" i="1" l="1"/>
  <c r="BA667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667" i="1" l="1"/>
  <c r="BP645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667" i="1" l="1"/>
  <c r="CA667" i="1" s="1"/>
  <c r="BC667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658" i="1" s="1"/>
  <c r="BA646" i="1" s="1"/>
  <c r="J235" i="1"/>
  <c r="O234" i="1"/>
  <c r="AC234" i="1"/>
  <c r="BE646" i="1" l="1"/>
  <c r="BA668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646" i="1" l="1"/>
  <c r="BE668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668" i="1" l="1"/>
  <c r="BC668" i="1"/>
  <c r="BC672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572" i="1"/>
  <c r="AV269" i="1"/>
  <c r="H573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660" i="1"/>
  <c r="BA647" i="1" s="1"/>
  <c r="BA651" i="1" s="1"/>
  <c r="BR655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653" i="1"/>
  <c r="AA403" i="1"/>
  <c r="AA404" i="1" s="1"/>
  <c r="AE402" i="1"/>
  <c r="BE647" i="1"/>
  <c r="BA669" i="1"/>
  <c r="BA670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654" i="1"/>
  <c r="AA405" i="1"/>
  <c r="AE404" i="1"/>
  <c r="AE403" i="1"/>
  <c r="BE651" i="1"/>
  <c r="BE669" i="1"/>
  <c r="BP647" i="1"/>
  <c r="AC329" i="1"/>
  <c r="J330" i="1"/>
  <c r="H330" i="1"/>
  <c r="AV329" i="1"/>
  <c r="O329" i="1"/>
  <c r="BE671" i="1" l="1"/>
  <c r="BA672" i="1"/>
  <c r="BE672" i="1" s="1"/>
  <c r="BR672" i="1" s="1"/>
  <c r="BE670" i="1"/>
  <c r="BC669" i="1"/>
  <c r="AX439" i="1"/>
  <c r="BW440" i="1"/>
  <c r="BW441" i="1" s="1"/>
  <c r="BN439" i="1"/>
  <c r="BR424" i="1"/>
  <c r="BP425" i="1"/>
  <c r="BP426" i="1" s="1"/>
  <c r="AE405" i="1"/>
  <c r="AA406" i="1"/>
  <c r="AA407" i="1" s="1"/>
  <c r="BR669" i="1"/>
  <c r="D651" i="1"/>
  <c r="BG651" i="1"/>
  <c r="AC330" i="1"/>
  <c r="J331" i="1"/>
  <c r="H331" i="1"/>
  <c r="O330" i="1"/>
  <c r="AV330" i="1"/>
  <c r="AA285" i="3"/>
  <c r="AA286" i="3"/>
  <c r="AA283" i="3"/>
  <c r="AA284" i="3"/>
  <c r="AA282" i="3"/>
  <c r="AH547" i="1" l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670" i="1"/>
  <c r="BC670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651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BW556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BN548" i="1" l="1"/>
  <c r="AX548" i="1"/>
  <c r="BP537" i="1"/>
  <c r="BR536" i="1"/>
  <c r="AA515" i="1"/>
  <c r="AE514" i="1"/>
  <c r="AV415" i="1"/>
  <c r="J416" i="1"/>
  <c r="H416" i="1"/>
  <c r="O415" i="1"/>
  <c r="AC415" i="1"/>
  <c r="BP538" i="1" l="1"/>
  <c r="BR537" i="1"/>
  <c r="AE515" i="1"/>
  <c r="AA516" i="1"/>
  <c r="AA517" i="1" s="1"/>
  <c r="AV416" i="1"/>
  <c r="J417" i="1"/>
  <c r="H417" i="1"/>
  <c r="O416" i="1"/>
  <c r="AC416" i="1"/>
  <c r="BR538" i="1" l="1"/>
  <c r="BP539" i="1"/>
  <c r="AA518" i="1"/>
  <c r="AE517" i="1"/>
  <c r="AE516" i="1"/>
  <c r="J418" i="1"/>
  <c r="H418" i="1"/>
  <c r="AV417" i="1"/>
  <c r="O417" i="1"/>
  <c r="AC417" i="1"/>
  <c r="BR539" i="1" l="1"/>
  <c r="BP540" i="1"/>
  <c r="AE518" i="1"/>
  <c r="AA519" i="1"/>
  <c r="AV418" i="1"/>
  <c r="H419" i="1"/>
  <c r="J419" i="1"/>
  <c r="O418" i="1"/>
  <c r="AC418" i="1"/>
  <c r="BR540" i="1" l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R541" i="1" l="1"/>
  <c r="BP542" i="1"/>
  <c r="AE520" i="1"/>
  <c r="AA521" i="1"/>
  <c r="J421" i="1"/>
  <c r="H421" i="1"/>
  <c r="AV420" i="1"/>
  <c r="O420" i="1"/>
  <c r="AC420" i="1"/>
  <c r="BR542" i="1" l="1"/>
  <c r="BP543" i="1"/>
  <c r="AE521" i="1"/>
  <c r="AA522" i="1"/>
  <c r="AA523" i="1" s="1"/>
  <c r="AA524" i="1" s="1"/>
  <c r="AV421" i="1"/>
  <c r="H422" i="1"/>
  <c r="O421" i="1"/>
  <c r="J422" i="1"/>
  <c r="AC421" i="1"/>
  <c r="BR543" i="1" l="1"/>
  <c r="BP544" i="1"/>
  <c r="AE524" i="1"/>
  <c r="AA525" i="1"/>
  <c r="AE523" i="1"/>
  <c r="AE522" i="1"/>
  <c r="AV422" i="1"/>
  <c r="J423" i="1"/>
  <c r="H423" i="1"/>
  <c r="O422" i="1"/>
  <c r="AC422" i="1"/>
  <c r="BR544" i="1" l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R545" i="1" l="1"/>
  <c r="BP546" i="1"/>
  <c r="AE526" i="1"/>
  <c r="AA527" i="1"/>
  <c r="AA528" i="1" s="1"/>
  <c r="AV424" i="1"/>
  <c r="H425" i="1"/>
  <c r="J425" i="1"/>
  <c r="O424" i="1"/>
  <c r="AC424" i="1"/>
  <c r="BR546" i="1" l="1"/>
  <c r="BP547" i="1"/>
  <c r="AA529" i="1"/>
  <c r="AE528" i="1"/>
  <c r="AE527" i="1"/>
  <c r="J426" i="1"/>
  <c r="H426" i="1"/>
  <c r="AV425" i="1"/>
  <c r="O425" i="1"/>
  <c r="AC425" i="1"/>
  <c r="BR547" i="1" l="1"/>
  <c r="BP548" i="1"/>
  <c r="BR548" i="1" s="1"/>
  <c r="AE529" i="1"/>
  <c r="AA530" i="1"/>
  <c r="AA531" i="1" s="1"/>
  <c r="AV426" i="1"/>
  <c r="J427" i="1"/>
  <c r="H427" i="1"/>
  <c r="O426" i="1"/>
  <c r="AC426" i="1"/>
  <c r="AE531" i="1" l="1"/>
  <c r="AA532" i="1"/>
  <c r="AE530" i="1"/>
  <c r="AV427" i="1"/>
  <c r="J428" i="1"/>
  <c r="H428" i="1"/>
  <c r="O427" i="1"/>
  <c r="AC427" i="1"/>
  <c r="AE532" i="1" l="1"/>
  <c r="AA533" i="1"/>
  <c r="AV428" i="1"/>
  <c r="H429" i="1"/>
  <c r="J429" i="1"/>
  <c r="O428" i="1"/>
  <c r="AC428" i="1"/>
  <c r="AA383" i="3"/>
  <c r="AA384" i="3"/>
  <c r="AA381" i="3"/>
  <c r="AA382" i="3"/>
  <c r="AA380" i="3"/>
  <c r="AA534" i="1" l="1"/>
  <c r="AA535" i="1" s="1"/>
  <c r="AE533" i="1"/>
  <c r="J430" i="1"/>
  <c r="H430" i="1"/>
  <c r="AV429" i="1"/>
  <c r="O429" i="1"/>
  <c r="AC429" i="1"/>
  <c r="AE535" i="1" l="1"/>
  <c r="AA536" i="1"/>
  <c r="AE534" i="1"/>
  <c r="AV430" i="1"/>
  <c r="O430" i="1"/>
  <c r="J431" i="1"/>
  <c r="H431" i="1"/>
  <c r="AC430" i="1"/>
  <c r="AE536" i="1" l="1"/>
  <c r="AA537" i="1"/>
  <c r="AV431" i="1"/>
  <c r="J432" i="1"/>
  <c r="H432" i="1"/>
  <c r="O431" i="1"/>
  <c r="AC431" i="1"/>
  <c r="AA538" i="1" l="1"/>
  <c r="AE537" i="1"/>
  <c r="AV432" i="1"/>
  <c r="H433" i="1"/>
  <c r="J433" i="1"/>
  <c r="O432" i="1"/>
  <c r="AC432" i="1"/>
  <c r="AA386" i="3"/>
  <c r="AA387" i="3"/>
  <c r="AA385" i="3"/>
  <c r="AE538" i="1" l="1"/>
  <c r="AA539" i="1"/>
  <c r="AA540" i="1" s="1"/>
  <c r="J434" i="1"/>
  <c r="H434" i="1"/>
  <c r="AV433" i="1"/>
  <c r="O433" i="1"/>
  <c r="AC433" i="1"/>
  <c r="AE540" i="1" l="1"/>
  <c r="AA541" i="1"/>
  <c r="AE539" i="1"/>
  <c r="AV434" i="1"/>
  <c r="H435" i="1"/>
  <c r="J435" i="1"/>
  <c r="O434" i="1"/>
  <c r="AC434" i="1"/>
  <c r="AE541" i="1" l="1"/>
  <c r="AA542" i="1"/>
  <c r="AV435" i="1"/>
  <c r="O435" i="1"/>
  <c r="J436" i="1"/>
  <c r="H436" i="1"/>
  <c r="AC435" i="1"/>
  <c r="AE542" i="1" l="1"/>
  <c r="AA543" i="1"/>
  <c r="AV436" i="1"/>
  <c r="O436" i="1"/>
  <c r="H437" i="1"/>
  <c r="J437" i="1"/>
  <c r="AC436" i="1"/>
  <c r="AA391" i="3"/>
  <c r="AA389" i="3"/>
  <c r="AA390" i="3"/>
  <c r="AA388" i="3"/>
  <c r="AA544" i="1" l="1"/>
  <c r="AA545" i="1" s="1"/>
  <c r="AE543" i="1"/>
  <c r="J438" i="1"/>
  <c r="H438" i="1"/>
  <c r="AV437" i="1"/>
  <c r="O437" i="1"/>
  <c r="AC437" i="1"/>
  <c r="AE545" i="1" l="1"/>
  <c r="AA546" i="1"/>
  <c r="AE544" i="1"/>
  <c r="AV438" i="1"/>
  <c r="O438" i="1"/>
  <c r="J439" i="1"/>
  <c r="H439" i="1"/>
  <c r="AC438" i="1"/>
  <c r="AA547" i="1" l="1"/>
  <c r="AE546" i="1"/>
  <c r="AV439" i="1"/>
  <c r="J440" i="1"/>
  <c r="H440" i="1"/>
  <c r="O439" i="1"/>
  <c r="AC439" i="1"/>
  <c r="AA395" i="3"/>
  <c r="AA392" i="3"/>
  <c r="AA548" i="1" l="1"/>
  <c r="AE547" i="1"/>
  <c r="J441" i="1"/>
  <c r="H441" i="1"/>
  <c r="AV440" i="1"/>
  <c r="O440" i="1"/>
  <c r="AC440" i="1"/>
  <c r="AA393" i="3"/>
  <c r="AA394" i="3"/>
  <c r="AD49" i="2" l="1"/>
  <c r="AD51" i="2" s="1"/>
  <c r="AD53" i="2" s="1"/>
  <c r="AD55" i="2" s="1"/>
  <c r="AD57" i="2" s="1"/>
  <c r="AJ21" i="2"/>
  <c r="I21" i="3"/>
  <c r="I35" i="3" s="1"/>
  <c r="AE548" i="1"/>
  <c r="AV441" i="1"/>
  <c r="J442" i="1"/>
  <c r="H442" i="1"/>
  <c r="O441" i="1"/>
  <c r="AC441" i="1"/>
  <c r="AV442" i="1" l="1"/>
  <c r="J443" i="1"/>
  <c r="H443" i="1"/>
  <c r="O442" i="1"/>
  <c r="AC442" i="1"/>
  <c r="AV443" i="1" l="1"/>
  <c r="J444" i="1"/>
  <c r="H444" i="1"/>
  <c r="O443" i="1"/>
  <c r="AC443" i="1"/>
  <c r="AA399" i="3"/>
  <c r="AA397" i="3"/>
  <c r="AA398" i="3"/>
  <c r="AA396" i="3"/>
  <c r="H445" i="1" l="1"/>
  <c r="J445" i="1"/>
  <c r="AV444" i="1"/>
  <c r="O444" i="1"/>
  <c r="AC444" i="1"/>
  <c r="AV445" i="1" l="1"/>
  <c r="J446" i="1"/>
  <c r="H446" i="1"/>
  <c r="O445" i="1"/>
  <c r="AC445" i="1"/>
  <c r="AV446" i="1" l="1"/>
  <c r="J447" i="1"/>
  <c r="H447" i="1"/>
  <c r="O446" i="1"/>
  <c r="AC446" i="1"/>
  <c r="J448" i="1" l="1"/>
  <c r="H448" i="1"/>
  <c r="AV447" i="1"/>
  <c r="O447" i="1"/>
  <c r="AC447" i="1"/>
  <c r="AA401" i="3"/>
  <c r="AA402" i="3"/>
  <c r="AA400" i="3"/>
  <c r="O448" i="1" l="1"/>
  <c r="J449" i="1"/>
  <c r="H449" i="1"/>
  <c r="AV448" i="1"/>
  <c r="AC448" i="1"/>
  <c r="AV449" i="1" l="1"/>
  <c r="J450" i="1"/>
  <c r="H450" i="1"/>
  <c r="O449" i="1"/>
  <c r="AC449" i="1"/>
  <c r="AV450" i="1" l="1"/>
  <c r="H451" i="1"/>
  <c r="J451" i="1"/>
  <c r="O450" i="1"/>
  <c r="AC450" i="1"/>
  <c r="AA406" i="3"/>
  <c r="AA407" i="3"/>
  <c r="AA404" i="3"/>
  <c r="AA405" i="3"/>
  <c r="AA403" i="3"/>
  <c r="AV451" i="1" l="1"/>
  <c r="J452" i="1"/>
  <c r="H452" i="1"/>
  <c r="O451" i="1"/>
  <c r="AC451" i="1"/>
  <c r="J453" i="1" l="1"/>
  <c r="H453" i="1"/>
  <c r="AV452" i="1"/>
  <c r="O452" i="1"/>
  <c r="AC452" i="1"/>
  <c r="AV453" i="1" l="1"/>
  <c r="H454" i="1"/>
  <c r="J454" i="1"/>
  <c r="O453" i="1"/>
  <c r="AC453" i="1"/>
  <c r="AV454" i="1" l="1"/>
  <c r="J455" i="1"/>
  <c r="H455" i="1"/>
  <c r="O454" i="1"/>
  <c r="AC454" i="1"/>
  <c r="AV455" i="1" l="1"/>
  <c r="H456" i="1"/>
  <c r="J456" i="1"/>
  <c r="O455" i="1"/>
  <c r="AC455" i="1"/>
  <c r="AA411" i="3"/>
  <c r="AA409" i="3"/>
  <c r="AA410" i="3"/>
  <c r="AA408" i="3"/>
  <c r="J457" i="1" l="1"/>
  <c r="H457" i="1"/>
  <c r="AV456" i="1"/>
  <c r="O456" i="1"/>
  <c r="AC456" i="1"/>
  <c r="AV457" i="1" l="1"/>
  <c r="H458" i="1"/>
  <c r="J458" i="1"/>
  <c r="O457" i="1"/>
  <c r="AC457" i="1"/>
  <c r="O458" i="1" l="1"/>
  <c r="J459" i="1"/>
  <c r="H459" i="1"/>
  <c r="AV458" i="1"/>
  <c r="AC458" i="1"/>
  <c r="AV459" i="1" l="1"/>
  <c r="J460" i="1"/>
  <c r="H460" i="1"/>
  <c r="O459" i="1"/>
  <c r="AC459" i="1"/>
  <c r="AA412" i="3"/>
  <c r="J461" i="1" l="1"/>
  <c r="H461" i="1"/>
  <c r="AV460" i="1"/>
  <c r="O460" i="1"/>
  <c r="AC460" i="1"/>
  <c r="AA413" i="3"/>
  <c r="AA414" i="3"/>
  <c r="AV461" i="1" l="1"/>
  <c r="J462" i="1"/>
  <c r="H462" i="1"/>
  <c r="O461" i="1"/>
  <c r="AC461" i="1"/>
  <c r="O462" i="1" l="1"/>
  <c r="H463" i="1"/>
  <c r="J463" i="1"/>
  <c r="AV462" i="1"/>
  <c r="AC462" i="1"/>
  <c r="J464" i="1" l="1"/>
  <c r="H464" i="1"/>
  <c r="AV463" i="1"/>
  <c r="O463" i="1"/>
  <c r="AC463" i="1"/>
  <c r="AA416" i="3"/>
  <c r="AA417" i="3"/>
  <c r="AA415" i="3"/>
  <c r="AV464" i="1" l="1"/>
  <c r="J465" i="1"/>
  <c r="O464" i="1"/>
  <c r="H465" i="1"/>
  <c r="AC464" i="1"/>
  <c r="O465" i="1" l="1"/>
  <c r="J466" i="1"/>
  <c r="H466" i="1"/>
  <c r="AV465" i="1"/>
  <c r="AC465" i="1"/>
  <c r="AA421" i="3"/>
  <c r="AA422" i="3"/>
  <c r="AA419" i="3"/>
  <c r="AA420" i="3"/>
  <c r="AA418" i="3"/>
  <c r="AV466" i="1" l="1"/>
  <c r="H467" i="1"/>
  <c r="J467" i="1"/>
  <c r="O466" i="1"/>
  <c r="AC466" i="1"/>
  <c r="J468" i="1" l="1"/>
  <c r="H468" i="1"/>
  <c r="AV467" i="1"/>
  <c r="O467" i="1"/>
  <c r="AC467" i="1"/>
  <c r="AV468" i="1" l="1"/>
  <c r="J469" i="1"/>
  <c r="H469" i="1"/>
  <c r="O468" i="1"/>
  <c r="AC468" i="1"/>
  <c r="AV469" i="1" l="1"/>
  <c r="J470" i="1"/>
  <c r="H470" i="1"/>
  <c r="O469" i="1"/>
  <c r="AC469" i="1"/>
  <c r="AV470" i="1" l="1"/>
  <c r="H471" i="1"/>
  <c r="J471" i="1"/>
  <c r="O470" i="1"/>
  <c r="AC470" i="1"/>
  <c r="AA428" i="3"/>
  <c r="AA429" i="3"/>
  <c r="AA426" i="3"/>
  <c r="AA427" i="3"/>
  <c r="AA424" i="3"/>
  <c r="AA425" i="3"/>
  <c r="AA423" i="3"/>
  <c r="AV471" i="1" l="1"/>
  <c r="J472" i="1"/>
  <c r="H472" i="1"/>
  <c r="O471" i="1"/>
  <c r="AC471" i="1"/>
  <c r="AV472" i="1" l="1"/>
  <c r="J473" i="1"/>
  <c r="H473" i="1"/>
  <c r="O472" i="1"/>
  <c r="AC472" i="1"/>
  <c r="AV473" i="1" l="1"/>
  <c r="J474" i="1"/>
  <c r="H474" i="1"/>
  <c r="O473" i="1"/>
  <c r="AC473" i="1"/>
  <c r="J475" i="1" l="1"/>
  <c r="H475" i="1"/>
  <c r="AV474" i="1"/>
  <c r="O474" i="1"/>
  <c r="AC474" i="1"/>
  <c r="AV475" i="1" l="1"/>
  <c r="J476" i="1"/>
  <c r="H476" i="1"/>
  <c r="O475" i="1"/>
  <c r="AC475" i="1"/>
  <c r="AV476" i="1" l="1"/>
  <c r="J477" i="1"/>
  <c r="H477" i="1"/>
  <c r="O476" i="1"/>
  <c r="AC476" i="1"/>
  <c r="AV477" i="1" l="1"/>
  <c r="J478" i="1"/>
  <c r="H478" i="1"/>
  <c r="O477" i="1"/>
  <c r="AC477" i="1"/>
  <c r="AA435" i="3"/>
  <c r="AA436" i="3"/>
  <c r="AA433" i="3"/>
  <c r="AA434" i="3"/>
  <c r="AA431" i="3"/>
  <c r="AA432" i="3"/>
  <c r="AA430" i="3"/>
  <c r="AV478" i="1" l="1"/>
  <c r="H479" i="1"/>
  <c r="J479" i="1"/>
  <c r="O478" i="1"/>
  <c r="AC478" i="1"/>
  <c r="AC479" i="1" l="1"/>
  <c r="J480" i="1"/>
  <c r="H480" i="1"/>
  <c r="AV479" i="1"/>
  <c r="O479" i="1"/>
  <c r="AV480" i="1" l="1"/>
  <c r="O480" i="1"/>
  <c r="J481" i="1"/>
  <c r="H481" i="1"/>
  <c r="AC480" i="1"/>
  <c r="J482" i="1" l="1"/>
  <c r="H482" i="1"/>
  <c r="AV481" i="1"/>
  <c r="O481" i="1"/>
  <c r="AC481" i="1"/>
  <c r="AV482" i="1" l="1"/>
  <c r="J483" i="1"/>
  <c r="H483" i="1"/>
  <c r="O482" i="1"/>
  <c r="AC482" i="1"/>
  <c r="AV483" i="1" l="1"/>
  <c r="H484" i="1"/>
  <c r="J484" i="1"/>
  <c r="O483" i="1"/>
  <c r="AC483" i="1"/>
  <c r="AV484" i="1" l="1"/>
  <c r="J485" i="1"/>
  <c r="H485" i="1"/>
  <c r="O484" i="1"/>
  <c r="AC484" i="1"/>
  <c r="AA442" i="3"/>
  <c r="AA443" i="3"/>
  <c r="AA440" i="3"/>
  <c r="AA441" i="3"/>
  <c r="AA438" i="3"/>
  <c r="AA439" i="3"/>
  <c r="AA437" i="3"/>
  <c r="O485" i="1" l="1"/>
  <c r="H486" i="1"/>
  <c r="J486" i="1"/>
  <c r="AV485" i="1"/>
  <c r="AC485" i="1"/>
  <c r="AV486" i="1" l="1"/>
  <c r="H487" i="1"/>
  <c r="J487" i="1"/>
  <c r="O486" i="1"/>
  <c r="AC486" i="1"/>
  <c r="AV487" i="1" l="1"/>
  <c r="H488" i="1"/>
  <c r="J488" i="1"/>
  <c r="O487" i="1"/>
  <c r="AC487" i="1"/>
  <c r="J489" i="1" l="1"/>
  <c r="H489" i="1"/>
  <c r="AV488" i="1"/>
  <c r="O488" i="1"/>
  <c r="AC488" i="1"/>
  <c r="AV489" i="1" l="1"/>
  <c r="J490" i="1"/>
  <c r="H490" i="1"/>
  <c r="O489" i="1"/>
  <c r="AC489" i="1"/>
  <c r="AV490" i="1" l="1"/>
  <c r="O490" i="1"/>
  <c r="H491" i="1"/>
  <c r="J491" i="1"/>
  <c r="AC490" i="1"/>
  <c r="AV491" i="1" l="1"/>
  <c r="H492" i="1"/>
  <c r="O491" i="1"/>
  <c r="J492" i="1"/>
  <c r="AC491" i="1"/>
  <c r="AA448" i="3"/>
  <c r="AA449" i="3"/>
  <c r="AA445" i="3"/>
  <c r="AA446" i="3"/>
  <c r="AA444" i="3"/>
  <c r="AV492" i="1" l="1"/>
  <c r="J493" i="1"/>
  <c r="H493" i="1"/>
  <c r="O492" i="1"/>
  <c r="AC492" i="1"/>
  <c r="AA447" i="3"/>
  <c r="AV493" i="1" l="1"/>
  <c r="J494" i="1"/>
  <c r="H494" i="1"/>
  <c r="O493" i="1"/>
  <c r="AC493" i="1"/>
  <c r="J495" i="1" l="1"/>
  <c r="H495" i="1"/>
  <c r="AV494" i="1"/>
  <c r="O494" i="1"/>
  <c r="AC494" i="1"/>
  <c r="AV495" i="1" l="1"/>
  <c r="J496" i="1"/>
  <c r="H496" i="1"/>
  <c r="O495" i="1"/>
  <c r="AC495" i="1"/>
  <c r="AV496" i="1" l="1"/>
  <c r="J497" i="1"/>
  <c r="H497" i="1"/>
  <c r="O496" i="1"/>
  <c r="AC496" i="1"/>
  <c r="AV497" i="1" l="1"/>
  <c r="O497" i="1"/>
  <c r="H498" i="1"/>
  <c r="J498" i="1"/>
  <c r="AC497" i="1"/>
  <c r="AA451" i="3"/>
  <c r="AA452" i="3"/>
  <c r="AA450" i="3"/>
  <c r="J499" i="1" l="1"/>
  <c r="H499" i="1"/>
  <c r="AV498" i="1"/>
  <c r="O498" i="1"/>
  <c r="AC498" i="1"/>
  <c r="AV499" i="1" l="1"/>
  <c r="J500" i="1"/>
  <c r="H500" i="1"/>
  <c r="O499" i="1"/>
  <c r="AC499" i="1"/>
  <c r="AV500" i="1" l="1"/>
  <c r="J501" i="1"/>
  <c r="H501" i="1"/>
  <c r="O500" i="1"/>
  <c r="AC500" i="1"/>
  <c r="AV501" i="1" l="1"/>
  <c r="J502" i="1"/>
  <c r="H502" i="1"/>
  <c r="O501" i="1"/>
  <c r="AC501" i="1"/>
  <c r="AA458" i="3"/>
  <c r="AA456" i="3"/>
  <c r="AA457" i="3"/>
  <c r="AA454" i="3"/>
  <c r="AA455" i="3"/>
  <c r="AA453" i="3"/>
  <c r="AV502" i="1" l="1"/>
  <c r="J503" i="1"/>
  <c r="H503" i="1"/>
  <c r="O502" i="1"/>
  <c r="AC502" i="1"/>
  <c r="H504" i="1" l="1"/>
  <c r="J504" i="1"/>
  <c r="AV503" i="1"/>
  <c r="O503" i="1"/>
  <c r="AC503" i="1"/>
  <c r="AV504" i="1" l="1"/>
  <c r="H505" i="1"/>
  <c r="J505" i="1"/>
  <c r="O504" i="1"/>
  <c r="AC504" i="1"/>
  <c r="AV505" i="1" l="1"/>
  <c r="H506" i="1"/>
  <c r="J506" i="1"/>
  <c r="O505" i="1"/>
  <c r="AC505" i="1"/>
  <c r="AV506" i="1" l="1"/>
  <c r="J507" i="1"/>
  <c r="H507" i="1"/>
  <c r="O506" i="1"/>
  <c r="AC506" i="1"/>
  <c r="AA462" i="3"/>
  <c r="AA463" i="3"/>
  <c r="AA460" i="3"/>
  <c r="AA461" i="3"/>
  <c r="AA459" i="3"/>
  <c r="AV507" i="1" l="1"/>
  <c r="J508" i="1"/>
  <c r="H508" i="1"/>
  <c r="O507" i="1"/>
  <c r="AC507" i="1"/>
  <c r="J509" i="1" l="1"/>
  <c r="H509" i="1"/>
  <c r="AV508" i="1"/>
  <c r="O508" i="1"/>
  <c r="AC508" i="1"/>
  <c r="AV509" i="1" l="1"/>
  <c r="J510" i="1"/>
  <c r="H510" i="1"/>
  <c r="O509" i="1"/>
  <c r="AC509" i="1"/>
  <c r="AV510" i="1" l="1"/>
  <c r="H511" i="1"/>
  <c r="J511" i="1"/>
  <c r="O510" i="1"/>
  <c r="AC510" i="1"/>
  <c r="AV511" i="1" l="1"/>
  <c r="J512" i="1"/>
  <c r="H512" i="1"/>
  <c r="O511" i="1"/>
  <c r="AC511" i="1"/>
  <c r="AA465" i="3"/>
  <c r="AA466" i="3"/>
  <c r="AA464" i="3"/>
  <c r="J513" i="1" l="1"/>
  <c r="H513" i="1"/>
  <c r="AV512" i="1"/>
  <c r="O512" i="1"/>
  <c r="AC512" i="1"/>
  <c r="BR671" i="1"/>
  <c r="CL687" i="1" s="1"/>
  <c r="CL689" i="1" s="1"/>
  <c r="AV513" i="1" l="1"/>
  <c r="J514" i="1"/>
  <c r="H514" i="1"/>
  <c r="O513" i="1"/>
  <c r="AC513" i="1"/>
  <c r="BA675" i="1"/>
  <c r="BC675" i="1" s="1"/>
  <c r="CL673" i="1"/>
  <c r="CL675" i="1"/>
  <c r="AV514" i="1" l="1"/>
  <c r="H515" i="1"/>
  <c r="J515" i="1"/>
  <c r="O514" i="1"/>
  <c r="AC514" i="1"/>
  <c r="AV515" i="1" l="1"/>
  <c r="J516" i="1"/>
  <c r="H516" i="1"/>
  <c r="O515" i="1"/>
  <c r="AC515" i="1"/>
  <c r="AA470" i="3"/>
  <c r="AA471" i="3"/>
  <c r="AA468" i="3"/>
  <c r="AA469" i="3"/>
  <c r="AA467" i="3"/>
  <c r="J517" i="1" l="1"/>
  <c r="H517" i="1"/>
  <c r="AV516" i="1"/>
  <c r="O516" i="1"/>
  <c r="AC516" i="1"/>
  <c r="AV517" i="1" l="1"/>
  <c r="H518" i="1"/>
  <c r="J518" i="1"/>
  <c r="O517" i="1"/>
  <c r="AC517" i="1"/>
  <c r="AV518" i="1" l="1"/>
  <c r="H519" i="1"/>
  <c r="J519" i="1"/>
  <c r="O518" i="1"/>
  <c r="AC518" i="1"/>
  <c r="AV519" i="1" l="1"/>
  <c r="J520" i="1"/>
  <c r="H520" i="1"/>
  <c r="O519" i="1"/>
  <c r="AC519" i="1"/>
  <c r="AA477" i="3"/>
  <c r="AA475" i="3"/>
  <c r="AA476" i="3"/>
  <c r="AA473" i="3"/>
  <c r="AA474" i="3"/>
  <c r="AA472" i="3"/>
  <c r="AV520" i="1" l="1"/>
  <c r="O520" i="1"/>
  <c r="J521" i="1"/>
  <c r="H521" i="1"/>
  <c r="AC520" i="1"/>
  <c r="AV521" i="1" l="1"/>
  <c r="O521" i="1"/>
  <c r="J522" i="1"/>
  <c r="H522" i="1"/>
  <c r="AC521" i="1"/>
  <c r="J523" i="1" l="1"/>
  <c r="H523" i="1"/>
  <c r="AV522" i="1"/>
  <c r="O522" i="1"/>
  <c r="AC522" i="1"/>
  <c r="H524" i="1" l="1"/>
  <c r="J524" i="1"/>
  <c r="AV523" i="1"/>
  <c r="O523" i="1"/>
  <c r="AC523" i="1"/>
  <c r="AV524" i="1" l="1"/>
  <c r="J525" i="1"/>
  <c r="H525" i="1"/>
  <c r="O524" i="1"/>
  <c r="AC524" i="1"/>
  <c r="AV525" i="1" l="1"/>
  <c r="J526" i="1"/>
  <c r="H526" i="1"/>
  <c r="O525" i="1"/>
  <c r="AC525" i="1"/>
  <c r="AA481" i="3"/>
  <c r="AA479" i="3"/>
  <c r="AA480" i="3"/>
  <c r="AA478" i="3"/>
  <c r="AV526" i="1" l="1"/>
  <c r="O526" i="1"/>
  <c r="J527" i="1"/>
  <c r="H527" i="1"/>
  <c r="AC526" i="1"/>
  <c r="J528" i="1" l="1"/>
  <c r="H528" i="1"/>
  <c r="AV527" i="1"/>
  <c r="O527" i="1"/>
  <c r="AC527" i="1"/>
  <c r="AV528" i="1" l="1"/>
  <c r="H529" i="1"/>
  <c r="J529" i="1"/>
  <c r="O528" i="1"/>
  <c r="AC528" i="1"/>
  <c r="AV529" i="1" l="1"/>
  <c r="J530" i="1"/>
  <c r="H530" i="1"/>
  <c r="O529" i="1"/>
  <c r="AC529" i="1"/>
  <c r="AA483" i="3"/>
  <c r="AA484" i="3"/>
  <c r="AA482" i="3"/>
  <c r="H531" i="1" l="1"/>
  <c r="J531" i="1"/>
  <c r="AV530" i="1"/>
  <c r="O530" i="1"/>
  <c r="AC530" i="1"/>
  <c r="AV531" i="1" l="1"/>
  <c r="H532" i="1"/>
  <c r="J532" i="1"/>
  <c r="O531" i="1"/>
  <c r="AC531" i="1"/>
  <c r="O532" i="1" l="1"/>
  <c r="J533" i="1"/>
  <c r="H533" i="1"/>
  <c r="AV532" i="1"/>
  <c r="AC532" i="1"/>
  <c r="AV533" i="1" l="1"/>
  <c r="J534" i="1"/>
  <c r="H534" i="1"/>
  <c r="O533" i="1"/>
  <c r="AC533" i="1"/>
  <c r="AA488" i="3"/>
  <c r="AA489" i="3"/>
  <c r="AA486" i="3"/>
  <c r="AA487" i="3"/>
  <c r="AA485" i="3"/>
  <c r="J535" i="1" l="1"/>
  <c r="H535" i="1"/>
  <c r="AV534" i="1"/>
  <c r="O534" i="1"/>
  <c r="AC534" i="1"/>
  <c r="O535" i="1" l="1"/>
  <c r="J536" i="1"/>
  <c r="H536" i="1"/>
  <c r="AV535" i="1"/>
  <c r="AC535" i="1"/>
  <c r="AV536" i="1" l="1"/>
  <c r="H537" i="1"/>
  <c r="J537" i="1"/>
  <c r="O536" i="1"/>
  <c r="AC536" i="1"/>
  <c r="O537" i="1" l="1"/>
  <c r="J538" i="1"/>
  <c r="H538" i="1"/>
  <c r="AV537" i="1"/>
  <c r="AC537" i="1"/>
  <c r="AA493" i="3"/>
  <c r="AA494" i="3"/>
  <c r="AA491" i="3"/>
  <c r="AA492" i="3"/>
  <c r="AA490" i="3"/>
  <c r="AC538" i="1" l="1"/>
  <c r="J539" i="1"/>
  <c r="H539" i="1"/>
  <c r="O538" i="1"/>
  <c r="AV538" i="1"/>
  <c r="H540" i="1" l="1"/>
  <c r="J540" i="1"/>
  <c r="AV539" i="1"/>
  <c r="O539" i="1"/>
  <c r="AC539" i="1"/>
  <c r="AV540" i="1" l="1"/>
  <c r="H541" i="1"/>
  <c r="I23" i="3" s="1"/>
  <c r="I25" i="3" s="1"/>
  <c r="I27" i="3" s="1"/>
  <c r="J541" i="1"/>
  <c r="O540" i="1"/>
  <c r="AC540" i="1"/>
  <c r="I34" i="3" l="1"/>
  <c r="N27" i="3"/>
  <c r="N28" i="3" s="1"/>
  <c r="O541" i="1"/>
  <c r="J542" i="1"/>
  <c r="H542" i="1"/>
  <c r="AV541" i="1"/>
  <c r="AC541" i="1"/>
  <c r="AV542" i="1" l="1"/>
  <c r="J543" i="1"/>
  <c r="H543" i="1"/>
  <c r="O542" i="1"/>
  <c r="AC542" i="1"/>
  <c r="AA498" i="3"/>
  <c r="AA496" i="3"/>
  <c r="AA497" i="3"/>
  <c r="AA495" i="3"/>
  <c r="AV543" i="1" l="1"/>
  <c r="J544" i="1"/>
  <c r="H544" i="1"/>
  <c r="O543" i="1"/>
  <c r="AC543" i="1"/>
  <c r="J545" i="1" l="1"/>
  <c r="H545" i="1"/>
  <c r="AV544" i="1"/>
  <c r="O544" i="1"/>
  <c r="AC544" i="1"/>
  <c r="AV545" i="1" l="1"/>
  <c r="J546" i="1"/>
  <c r="H546" i="1"/>
  <c r="O545" i="1"/>
  <c r="AC545" i="1"/>
  <c r="AV546" i="1" l="1"/>
  <c r="H547" i="1"/>
  <c r="J547" i="1"/>
  <c r="O546" i="1"/>
  <c r="AC546" i="1"/>
  <c r="AA502" i="3"/>
  <c r="AA503" i="3"/>
  <c r="AA500" i="3"/>
  <c r="AA501" i="3"/>
  <c r="AA499" i="3"/>
  <c r="AV547" i="1" l="1"/>
  <c r="J548" i="1"/>
  <c r="H548" i="1"/>
  <c r="O547" i="1"/>
  <c r="AC547" i="1"/>
  <c r="AV548" i="1" l="1"/>
  <c r="O548" i="1"/>
  <c r="AC548" i="1"/>
  <c r="AF21" i="2" l="1"/>
  <c r="I32" i="3"/>
  <c r="L32" i="3" l="1"/>
  <c r="L34" i="3"/>
  <c r="I36" i="3"/>
  <c r="I28" i="3"/>
  <c r="L35" i="3"/>
  <c r="AA505" i="3" l="1"/>
  <c r="W506" i="3"/>
  <c r="AA506" i="3" s="1"/>
  <c r="AA504" i="3"/>
  <c r="L36" i="3"/>
  <c r="Y244" i="3" l="1"/>
  <c r="Y12" i="3"/>
  <c r="Y350" i="3"/>
  <c r="Y121" i="3"/>
  <c r="Y214" i="3"/>
</calcChain>
</file>

<file path=xl/sharedStrings.xml><?xml version="1.0" encoding="utf-8"?>
<sst xmlns="http://schemas.openxmlformats.org/spreadsheetml/2006/main" count="376" uniqueCount="190">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</sst>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8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164" fontId="2" fillId="1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49" fontId="5" fillId="5" borderId="0" xfId="0" applyNumberFormat="1" applyFont="1" applyFill="1"/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Table'!$BA$662:$BA$666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Table'!$AS$667:$AT$672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Table'!$BA$667:$BA$672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17781570.561621621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Table'!$BC$662:$BC$666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Table'!$AS$667:$AT$672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Table'!$BC$667:$BC$672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37893785.96162162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Table'!$BJ$662:$BJ$666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Table'!$AS$667:$AT$672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Table'!$BJ$667:$BJ$671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Table'!$BK$662:$BK$666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Table'!$AS$667:$AT$672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Table'!$BK$667:$BK$671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Table'!$BL$662:$BL$666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Table'!$AS$667:$AT$672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Table'!$BL$667:$BL$671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Table'!$BM$662:$BM$666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Table'!$AS$667:$AT$672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Table'!$BM$667:$BM$671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Table'!$BP$662:$BP$666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Table'!$AS$667:$AT$672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Table'!$BP$667:$BP$672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170820000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Table'!$AU$662:$AU$666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Table'!$AU$667:$AU$672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Table'!$AV$662:$AV$666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Table'!$AV$667:$AV$671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Table'!$AW$662:$AW$666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Table'!$AW$667:$AW$671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Table'!$AX$662:$AX$666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Table'!$AX$667:$AX$671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Table'!$AY$662:$AY$666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Table'!$AY$667:$AY$671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Table'!$AZ$662:$AZ$666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Table'!$AZ$667:$AZ$671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Table'!$BB$662:$BB$666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Table'!$BB$667:$BB$671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Table'!$BD$662:$BD$666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Table'!$BD$667:$BD$671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Table'!$BE$662:$BE$666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Table'!$BE$667:$BE$671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Table'!$BF$662:$BF$666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Table'!$BF$667:$BF$671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Table'!$BG$662:$BG$666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Table'!$BG$667:$BG$671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Table'!$BH$662:$BH$666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Table'!$BH$667:$BH$671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Table'!$BI$662:$BI$666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Table'!$BI$667:$BI$671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Table'!$BN$662:$BN$666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Table'!$BN$667:$BN$671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Table'!$BO$662:$BO$666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Table'!$BO$667:$BO$671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Table'!$BQ$662:$BQ$666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Table'!$BQ$667:$BQ$671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Table'!$BR$662:$BR$666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Table'!$BR$667:$BR$671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Table'!$BS$662:$BS$666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Table'!$BS$667:$BS$671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Table'!$BT$662:$BT$666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Table'!$BR$667:$BR$672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226495356.52324325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Table'!$BU$662:$BU$666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Table'!$BU$667:$BU$671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Table'!$BV$662:$BV$666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Table'!$AS$667:$AT$672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Table'!$BV$667:$BV$671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571</xdr:row>
      <xdr:rowOff>99060</xdr:rowOff>
    </xdr:from>
    <xdr:to>
      <xdr:col>22</xdr:col>
      <xdr:colOff>312420</xdr:colOff>
      <xdr:row>572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571</xdr:row>
      <xdr:rowOff>129540</xdr:rowOff>
    </xdr:from>
    <xdr:to>
      <xdr:col>23</xdr:col>
      <xdr:colOff>68580</xdr:colOff>
      <xdr:row>572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589</xdr:row>
      <xdr:rowOff>125730</xdr:rowOff>
    </xdr:from>
    <xdr:to>
      <xdr:col>54</xdr:col>
      <xdr:colOff>213360</xdr:colOff>
      <xdr:row>604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679</xdr:row>
      <xdr:rowOff>91440</xdr:rowOff>
    </xdr:from>
    <xdr:to>
      <xdr:col>76</xdr:col>
      <xdr:colOff>472440</xdr:colOff>
      <xdr:row>702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703"/>
  <sheetViews>
    <sheetView topLeftCell="A524" zoomScaleNormal="100" workbookViewId="0">
      <selection activeCell="BF556" sqref="BF556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8" t="s">
        <v>5</v>
      </c>
      <c r="C1" s="598"/>
      <c r="D1" s="598"/>
    </row>
    <row r="2" spans="2:90" ht="15.6" x14ac:dyDescent="0.3">
      <c r="B2" s="598" t="s">
        <v>6</v>
      </c>
      <c r="C2" s="598"/>
      <c r="D2" s="598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03" t="s">
        <v>13</v>
      </c>
      <c r="C3" s="603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99" t="s">
        <v>11</v>
      </c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11"/>
      <c r="AE4" s="282"/>
      <c r="AF4" s="404"/>
      <c r="AG4" s="404"/>
      <c r="AH4" s="404"/>
      <c r="AI4" s="404"/>
      <c r="AJ4" s="12"/>
      <c r="AL4" s="615" t="s">
        <v>14</v>
      </c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04" t="s">
        <v>12</v>
      </c>
      <c r="G6" s="604"/>
      <c r="H6" s="604"/>
      <c r="I6" s="604"/>
      <c r="J6" s="604"/>
      <c r="K6" s="604"/>
      <c r="L6" s="604"/>
      <c r="M6" s="292"/>
      <c r="N6" s="499"/>
      <c r="O6" s="292"/>
      <c r="P6" s="293"/>
      <c r="Q6" s="610" t="s">
        <v>111</v>
      </c>
      <c r="R6" s="604"/>
      <c r="S6" s="604"/>
      <c r="T6" s="604"/>
      <c r="U6" s="611"/>
      <c r="V6" s="3"/>
      <c r="W6" s="8" t="s">
        <v>7</v>
      </c>
      <c r="X6" s="30"/>
      <c r="Y6" s="605">
        <v>1.2500000000000001E-2</v>
      </c>
      <c r="Z6" s="605"/>
      <c r="AA6" s="605"/>
      <c r="AB6" s="605"/>
      <c r="AC6" s="605"/>
      <c r="AD6" s="605"/>
      <c r="AE6" s="605"/>
      <c r="AF6" s="605"/>
      <c r="AG6" s="605"/>
      <c r="AH6" s="605"/>
      <c r="AI6" s="605"/>
      <c r="AJ6" s="606"/>
      <c r="AK6" s="3"/>
      <c r="AL6" s="622" t="s">
        <v>25</v>
      </c>
      <c r="AM6" s="623"/>
      <c r="AN6" s="623"/>
      <c r="AO6" s="623"/>
      <c r="AP6" s="623"/>
      <c r="AQ6" s="623"/>
      <c r="AR6" s="623"/>
      <c r="AS6" s="623"/>
      <c r="AT6" s="623"/>
      <c r="AU6" s="623"/>
      <c r="AV6" s="623"/>
      <c r="AW6" s="623"/>
      <c r="AX6" s="623"/>
      <c r="AY6" s="624"/>
      <c r="AZ6" s="3"/>
      <c r="BA6" s="625" t="s">
        <v>7</v>
      </c>
      <c r="BB6" s="619"/>
      <c r="BC6" s="619"/>
      <c r="BD6" s="85"/>
      <c r="BE6" s="618" t="s">
        <v>24</v>
      </c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9"/>
      <c r="BS6" s="619"/>
      <c r="BT6" s="619"/>
      <c r="BU6" s="620"/>
      <c r="BV6" s="3"/>
    </row>
    <row r="7" spans="2:90" ht="16.2" x14ac:dyDescent="0.3">
      <c r="D7" s="601" t="s">
        <v>20</v>
      </c>
      <c r="E7" s="602"/>
      <c r="F7" s="602"/>
      <c r="G7" s="602"/>
      <c r="H7" s="602"/>
      <c r="I7" s="602"/>
      <c r="J7" s="602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07" t="s">
        <v>33</v>
      </c>
      <c r="X7" s="608"/>
      <c r="Y7" s="608"/>
      <c r="Z7" s="608"/>
      <c r="AA7" s="608"/>
      <c r="AB7" s="608"/>
      <c r="AC7" s="608"/>
      <c r="AD7" s="608"/>
      <c r="AE7" s="608"/>
      <c r="AF7" s="608"/>
      <c r="AG7" s="608"/>
      <c r="AH7" s="608"/>
      <c r="AI7" s="608"/>
      <c r="AJ7" s="609"/>
      <c r="AK7" s="3"/>
      <c r="AL7" s="601" t="s">
        <v>68</v>
      </c>
      <c r="AM7" s="602"/>
      <c r="AN7" s="602"/>
      <c r="AO7" s="602"/>
      <c r="AP7" s="602"/>
      <c r="AQ7" s="602"/>
      <c r="AR7" s="602"/>
      <c r="AS7" s="602"/>
      <c r="AT7" s="602"/>
      <c r="AU7" s="602"/>
      <c r="AV7" s="602"/>
      <c r="AW7" s="602"/>
      <c r="AX7" s="602"/>
      <c r="AY7" s="621"/>
      <c r="BA7" s="601" t="s">
        <v>23</v>
      </c>
      <c r="BB7" s="602"/>
      <c r="BC7" s="602"/>
      <c r="BD7" s="602"/>
      <c r="BE7" s="602"/>
      <c r="BF7" s="602"/>
      <c r="BG7" s="602"/>
      <c r="BH7" s="602"/>
      <c r="BI7" s="602"/>
      <c r="BJ7" s="602"/>
      <c r="BK7" s="602"/>
      <c r="BL7" s="602"/>
      <c r="BM7" s="602"/>
      <c r="BN7" s="602"/>
      <c r="BO7" s="602"/>
      <c r="BP7" s="602"/>
      <c r="BQ7" s="602"/>
      <c r="BR7" s="602"/>
      <c r="BS7" s="602"/>
      <c r="BT7" s="602"/>
      <c r="BU7" s="621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613" t="s">
        <v>1</v>
      </c>
      <c r="BB8" s="614"/>
      <c r="BC8" s="614"/>
      <c r="BD8" s="63"/>
      <c r="BE8" s="614" t="s">
        <v>22</v>
      </c>
      <c r="BF8" s="614"/>
      <c r="BG8" s="614"/>
      <c r="BH8" s="614"/>
      <c r="BI8" s="626"/>
      <c r="BJ8" s="627" t="s">
        <v>111</v>
      </c>
      <c r="BK8" s="628"/>
      <c r="BL8" s="628"/>
      <c r="BM8" s="629"/>
      <c r="BN8" s="613" t="s">
        <v>22</v>
      </c>
      <c r="BO8" s="614"/>
      <c r="BP8" s="614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SUM(D102:D557)</f>
        <v>37111068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SUM(D109:D564)</f>
        <v>36930240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SUM(D116:D571)</f>
        <v>37381915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SUM(D123:D581)</f>
        <v>367987045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SUM(D124:D582)</f>
        <v>367925326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SUM(D125:D583)</f>
        <v>367866977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SUM(D126:D584)</f>
        <v>367801489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SUM(D127:D585)</f>
        <v>367735441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SUM(D128:D586)</f>
        <v>367663446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SUM(D129:D587)</f>
        <v>444590058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SUM(D130:D588)</f>
        <v>444515071.23262841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SUM(D131:D589)</f>
        <v>444451812.23262841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SUM(D132:D590)</f>
        <v>775386533.23262835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SUM(D133:D591)</f>
        <v>819677654.23262835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SUM(D134:D592)</f>
        <v>819610175.30462837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SUM(D135:D593)</f>
        <v>819538208.30462837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SUM(D136:D594)</f>
        <v>819468765.34662843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SUM(D137:D595)</f>
        <v>820391731.34662843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SUM(D138:D596)</f>
        <v>820324318.34662843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SUM(D139:D597)</f>
        <v>820268188.34662843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SUM(D140:D598)</f>
        <v>820206617.34662843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SUM(D141:D599)</f>
        <v>820141888.34662843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SUM(D142:D600)</f>
        <v>820074967.34662843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SUM(D143:D601)</f>
        <v>820006398.34662843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SUM(D144:D602)</f>
        <v>819935315.34662843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SUM(D145:D603)</f>
        <v>819876774.34662843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SUM(D146:D604)</f>
        <v>819827736.34662843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SUM(D147:D605)</f>
        <v>819779090.34662843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SUM(D148:D606)</f>
        <v>819724526.34662843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SUM(D149:D607)</f>
        <v>819669378.34662843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SUM(D150:D608)</f>
        <v>819610668.34662843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SUM(D151:D609)</f>
        <v>819547422.34662843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SUM(D152:D610)</f>
        <v>819493223.34662843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SUM(D153:D611)</f>
        <v>819445374.34662843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SUM(D154:D612)</f>
        <v>819395574.34662843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SUM(D155:D613)</f>
        <v>819341055.34662843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SUM(D156:D614)</f>
        <v>819286710.34662843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SUM(D157:D615)</f>
        <v>819231346.34662843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SUM(D158:D616)</f>
        <v>819170746.34662843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SUM(D159:D617)</f>
        <v>819117223.34662843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SUM(D160:D618)</f>
        <v>819080380.34662843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SUM(D161:D619)</f>
        <v>819039768.34662843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SUM(D162:D620)</f>
        <v>818995769.34662843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SUM(D163:D621)</f>
        <v>818950796.34662843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SUM(D164:D622)</f>
        <v>818905439.34662843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SUM(D165:D623)</f>
        <v>818854958.34662843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SUM(D166:D624)</f>
        <v>818811129.34662843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SUM(D167:D625)</f>
        <v>818778411.34662843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SUM(D168:D626)</f>
        <v>818736927.34662843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SUM(D169:D627)</f>
        <v>818696829.34662843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SUM(D170:D628)</f>
        <v>818652192.34662843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SUM(D171:D629)</f>
        <v>818606186.34662843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SUM(D172:D630)</f>
        <v>818556585.34662843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SUM(D173:D631)</f>
        <v>818513925.34662843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SUM(D174:D632)</f>
        <v>818479944.34662843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SUM(D175:D633)</f>
        <v>818441384.34662843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SUM(D176:D634)</f>
        <v>818399405.34662843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SUM(D177:D635)</f>
        <v>818358194.34662843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SUM(D178:D636)</f>
        <v>818312730.34662843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SUM(D179:D637)</f>
        <v>818259881.34662843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SUM(D180:D638)</f>
        <v>818217789.34662843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SUM(D181:D639)</f>
        <v>818186679.34662843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SUM(D182:D643)</f>
        <v>818161259.34662843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SUM(D183:D644)</f>
        <v>818132820.34662843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SUM(D184:D645)</f>
        <v>818097577.34662843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SUM(D185:D646)</f>
        <v>851773052.06091416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SUM(D186:D647)</f>
        <v>902583594.91805696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SUM(D187:D648)</f>
        <v>971115741.4894855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SUM(D188:D650)</f>
        <v>971083884.4894855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SUM(D189:D651)</f>
        <v>1148631088.060914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SUM(D190:D655)</f>
        <v>1148594641.060914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SUM(D191:D656)</f>
        <v>1148554487.060914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SUM(D192:D657)</f>
        <v>1148508192.060914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SUM(D193:D658)</f>
        <v>1148456847.060914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SUM(D194:D659)</f>
        <v>1148413234.060914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SUM(D195:D660)</f>
        <v>1148379848.060914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SUM(D196:D666)</f>
        <v>1148343044.060914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SUM(D197:D667)</f>
        <v>1148307348.060914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SUM(D198:D668)</f>
        <v>1148265732.060914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SUM(D199:D669)</f>
        <v>1148220377.060914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SUM(D200:D671)</f>
        <v>1148166748.060914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SUM(D201:D673)</f>
        <v>1148123542.060914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SUM(D202:D674)</f>
        <v>1148089760.060914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SUM(D203:D675)</f>
        <v>1148052342.060914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SUM(D204:D676)</f>
        <v>1148008115.060914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SUM(D205:D677)</f>
        <v>1147967186.060914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SUM(D206:D678)</f>
        <v>1147919797.060914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SUM(D207:D679)</f>
        <v>1147868394.060914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SUM(D208:D680)</f>
        <v>1147819469.060914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SUM(D209:D681)</f>
        <v>1147785403.060914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SUM(D210:D682)</f>
        <v>1147747686.060914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SUM(D211:D683)</f>
        <v>1147703018.060914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SUM(D212:D684)</f>
        <v>1147653660.060914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SUM(D213:D685)</f>
        <v>1147596342.060914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SUM(D214:D686)</f>
        <v>1147535359.060914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SUM(D215:D687)</f>
        <v>1147481124.060914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SUM(D216:D688)</f>
        <v>1147439189.060914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SUM(D217:D689)</f>
        <v>1147393398.060914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SUM(D218:D690)</f>
        <v>1147341864.060914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SUM(D219:D691)</f>
        <v>1147282171.060914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SUM(D220:D692)</f>
        <v>1147216042.060914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SUM(D221:D693)</f>
        <v>1147144355.060914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SUM(D222:D694)</f>
        <v>1147090123.060914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SUM(D223:D695)</f>
        <v>1147045182.060914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SUM(D224:D696)</f>
        <v>1146987855.060914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SUM(D225:D697)</f>
        <v>1146925783.060914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SUM(D226:D698)</f>
        <v>1146862120.060914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SUM(D227:D699)</f>
        <v>1146787819.060914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SUM(D228:D700)</f>
        <v>1146706405.060914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SUM(D229:D701)</f>
        <v>1146626956.060914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SUM(D230:D702)</f>
        <v>1146566067.060914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SUM(D231:D703)</f>
        <v>1146496226.060914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SUM(D232:D704)</f>
        <v>1146421154.060914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SUM(D233:D705)</f>
        <v>1146339573.060914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SUM(D234:D706)</f>
        <v>1146248043.060914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SUM(D235:D707)</f>
        <v>1146146582.060914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SUM(D236:D708)</f>
        <v>1146060289.060914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SUM(D237:D709)</f>
        <v>1145988968.060914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SUM(D238:D710)</f>
        <v>1145900063.060914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SUM(D239:D711)</f>
        <v>1145805596.060914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SUM(D240:D712)</f>
        <v>1145697207.060914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SUM(D241:D713)</f>
        <v>1145578888.060914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SUM(D242:D714)</f>
        <v>1145446347.060914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SUM(D243:D715)</f>
        <v>1145321957.060914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SUM(D244:D716)</f>
        <v>1145219231.060914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SUM(D245:D717)</f>
        <v>1145093542.060914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SUM(D246:D718)</f>
        <v>1144957889.060914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SUM(D247:D719)</f>
        <v>1144814983.060914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SUM(D248:D720)</f>
        <v>1144653442.060914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SUM(D249:D721)</f>
        <v>1144469915.060914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SUM(D250:D722)</f>
        <v>1144312662.060914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SUM(D251:D723)</f>
        <v>1144174413.060914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SUM(D252:D724)</f>
        <v>1144012264.060914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SUM(D253:D725)</f>
        <v>1143855003.060914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SUM(D254:D726)</f>
        <v>1143681235.060914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SUM(D255:D727)</f>
        <v>1143489049.060914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SUM(D256:D728)</f>
        <v>1143284870.060914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SUM(D257:D729)</f>
        <v>1143112031.060914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SUM(D258:D730)</f>
        <v>1142975404.060914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SUM(D259:D731)</f>
        <v>1142803104.060914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SUM(D260:D732)</f>
        <v>1142626022.060914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SUM(D261:D733)</f>
        <v>1142445119.060914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SUM(D262:D734)</f>
        <v>1142337056.060914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SUM(D263:D735)</f>
        <v>1142173044.060914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SUM(D264:D736)</f>
        <v>1142029671.060914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SUM(D265:D737)</f>
        <v>1141891483.060914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SUM(D266:D738)</f>
        <v>1141729915.060914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SUM(D267:D739)</f>
        <v>1141547639.060914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SUM(D268:D740)</f>
        <v>1141343902.060914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SUM(D269:D741)</f>
        <v>1141125326.060914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SUM(D270:D742)</f>
        <v>1140890054.060914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SUM(D271:D743)</f>
        <v>1140677571.060914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SUM(D272:D744)</f>
        <v>1140494792.060914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SUM(D273:D745)</f>
        <v>1140294707.060914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SUM(D274:D746)</f>
        <v>1140084951.060914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SUM(D275:D747)</f>
        <v>1139857998.060914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SUM(D276:D748)</f>
        <v>1139630684.060914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SUM(D277:D749)</f>
        <v>1139383923.060914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SUM(D278:D750)</f>
        <v>1139163625.060914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SUM(D279:D751)</f>
        <v>1138975724.060914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SUM(D280:D752)</f>
        <v>1138775992.060914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SUM(D281:D753)</f>
        <v>1138575957.060914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SUM(D282:D754)</f>
        <v>1138325784.060914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SUM(D283:D755)</f>
        <v>1138087912.060914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SUM(D284:D756)</f>
        <v>1137833232.060914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SUM(D285:D757)</f>
        <v>1137643582.060914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SUM(D286:D758)</f>
        <v>1137455302.060914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SUM(D287:D759)</f>
        <v>1137255193.060914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SUM(D288:D760)</f>
        <v>1137056113.060914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SUM(D289:D761)</f>
        <v>1136823771.060914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SUM(D290:D762)</f>
        <v>1136630741.060914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SUM(D291:D763)</f>
        <v>1136531901.060914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SUM(D292:D764)</f>
        <v>1136371297.060914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SUM(D293:D765)</f>
        <v>1136243557.060914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SUM(D294:D766)</f>
        <v>1136057166.060914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SUM(D295:D767)</f>
        <v>1135857544.060914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SUM(D296:D768)</f>
        <v>1135622769.060914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SUM(D297:D769)</f>
        <v>1135394356.060914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SUM(D298:D770)</f>
        <v>1135228312.060914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SUM(D299:D771)</f>
        <v>1134996085.060914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SUM(D300:D772)</f>
        <v>1134801748.060914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SUM(D301:D773)</f>
        <v>1134611586.060914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SUM(D302:D774)</f>
        <v>1134376875.060914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SUM(D303:D775)</f>
        <v>1134115902.060914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SUM(D304:D776)</f>
        <v>1133841712.060914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SUM(D305:D777)</f>
        <v>1133535263.060914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SUM(D306:D778)</f>
        <v>1133285569.060914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SUM(D307:D779)</f>
        <v>1133064742.060914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SUM(D308:D780)</f>
        <v>1132850059.060914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SUM(D309:D781)</f>
        <v>1132626431.060914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SUM(D310:D782)</f>
        <v>1132388358.060914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SUM(D311:D783)</f>
        <v>1132153939.060914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SUM(D312:D784)</f>
        <v>1131905133.060914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SUM(D313:D785)</f>
        <v>1131702366.060914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SUM(D314:D786)</f>
        <v>1131527806.060914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SUM(D315:D787)</f>
        <v>1131378478.060914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SUM(D316:D788)</f>
        <v>1131204100.060914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SUM(D317:D789)</f>
        <v>1131014019.060914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SUM(D318:D790)</f>
        <v>1130820261.060914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SUM(D319:D791)</f>
        <v>1130628196.060914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SUM(D320:D792)</f>
        <v>1130455129.060914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SUM(D321:D793)</f>
        <v>1130319947.060914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SUM(D322:D794)</f>
        <v>1130167703.060914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SUM(D323:D795)</f>
        <v>1130015976.060914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SUM(D324:D796)</f>
        <v>1129855945.060914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SUM(D325:D797)</f>
        <v>1129693312.060914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SUM(D326:D798)</f>
        <v>1129524279.060914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SUM(D327:D799)</f>
        <v>1129383547.060914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SUM(D328:D800)</f>
        <v>1129275731.060914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SUM(D329:D801)</f>
        <v>1129149279.060914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SUM(D330:D802)</f>
        <v>1129033052.060914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SUM(D331:D803)</f>
        <v>1128919593.060914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SUM(D332:D804)</f>
        <v>1128797856.060914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SUM(D333:D805)</f>
        <v>1128671731.060914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SUM(D334:D806)</f>
        <v>1128565748.060914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SUM(D335:D807)</f>
        <v>1128474492.060914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SUM(D336:D808)</f>
        <v>1128384146.060914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SUM(D337:D809)</f>
        <v>1128288604.060914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SUM(D338:D810)</f>
        <v>1128191798.060914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SUM(D339:D811)</f>
        <v>1128087554.060914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SUM(D340:D812)</f>
        <v>1127987266.060914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SUM(D341:D813)</f>
        <v>1127900782.060914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SUM(D342:D814)</f>
        <v>1127836485.060914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SUM(D343:D815)</f>
        <v>1127783700.060914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SUM(D344:D816)</f>
        <v>1127720302.060914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SUM(D345:D817)</f>
        <v>1127648662.060914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SUM(D346:D818)</f>
        <v>1127579738.060914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SUM(D347:D819)</f>
        <v>1127494199.060914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SUM(D348:D820)</f>
        <v>1127424582.060914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SUM(D349:D821)</f>
        <v>1127367357.060914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SUM(D350:D822)</f>
        <v>1127296303.060914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SUM(D351:D823)</f>
        <v>1127222599.060914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SUM(D352:D824)</f>
        <v>1127147300.060914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SUM(D353:D825)</f>
        <v>1127069923.060914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SUM(D354:D826)</f>
        <v>1126989298.060914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SUM(D355:D827)</f>
        <v>1126924978.060914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SUM(D356:D828)</f>
        <v>1126875566.060914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SUM(D357:D829)</f>
        <v>1126820385.060914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SUM(D358:D830)</f>
        <v>1126763495.060914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SUM(D359:D831)</f>
        <v>1126696270.060914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SUM(D360:D832)</f>
        <v>1126627949.060914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SUM(D361:D833)</f>
        <v>1126558709.060914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SUM(D362:D834)</f>
        <v>1126500481.060914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SUM(D363:D835)</f>
        <v>1126458514.060914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SUM(D364:D836)</f>
        <v>1126413146.060914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SUM(D365:D837)</f>
        <v>1126357463.060914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551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SUM(D366:D838)</f>
        <v>1126296103.060914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SUM(D367:D839)</f>
        <v>1126233330.060914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SUM(D368:D840)</f>
        <v>1126166545.060914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SUM(D369:D841)</f>
        <v>1126116827.060914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SUM(D370:D842)</f>
        <v>1126079931.060914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SUM(D371:D843)</f>
        <v>1126033164.060914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SUM(D372:D844)</f>
        <v>1125979933.060914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SUM(D373:D845)</f>
        <v>1125916438.060914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SUM(D374:D846)</f>
        <v>1125853809.060914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SUM(D375:D847)</f>
        <v>1125787396.060914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SUM(D376:D848)</f>
        <v>1125731488.060914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SUM(D377:D849)</f>
        <v>1125691983.060914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SUM(D378:D850)</f>
        <v>1125646235.060914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SUM(D379:D851)</f>
        <v>1125587530.060914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SUM(D380:D852)</f>
        <v>1125520992.060914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SUM(D381:D853)</f>
        <v>1125453946.060914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SUM(D382:D854)</f>
        <v>1125376970.060914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SUM(D383:D855)</f>
        <v>1125313311.060914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SUM(D384:D856)</f>
        <v>1125269215.060914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SUM(D385:D857)</f>
        <v>1125209017.060914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SUM(D386:D858)</f>
        <v>1125146558.060914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SUM(D387:D859)</f>
        <v>1125077802.060914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SUM(D388:D860)</f>
        <v>1125033551.060914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SUM(D389:D861)</f>
        <v>1124963527.060914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SUM(D390:D862)</f>
        <v>1124897373.060914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SUM(D391:D863)</f>
        <v>1124860390.060914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SUM(D392:D864)</f>
        <v>1124802746.060914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SUM(D393:D865)</f>
        <v>1124740463.060914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SUM(D394:D866)</f>
        <v>1124665280.060914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SUM(D395:D867)</f>
        <v>1124585119.060914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SUM(D396:D868)</f>
        <v>1124499751.060914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SUM(D397:D869)</f>
        <v>1124432971.060914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SUM(D398:D870)</f>
        <v>1124385097.060914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SUM(D399:D871)</f>
        <v>1124328575.060914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SUM(D400:D872)</f>
        <v>1124250855.060914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SUM(D401:D873)</f>
        <v>1124172416.060914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SUM(D402:D874)</f>
        <v>1124097937.060914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SUM(D403:D875)</f>
        <v>1124016164.060914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SUM(D404:D876)</f>
        <v>1123952583.060914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SUM(D405:D877)</f>
        <v>1123909402.060914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SUM(D406:D878)</f>
        <v>1123857752.060914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SUM(D407:D879)</f>
        <v>1123797435.060914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SUM(D408:D880)</f>
        <v>1123732378.060914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SUM(D409:D881)</f>
        <v>1123665308.060914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SUM(D410:D882)</f>
        <v>1123598793.060914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" si="374">+H439+D440</f>
        <v>33534078</v>
      </c>
      <c r="I440" s="16"/>
      <c r="J440" s="436">
        <f t="shared" ref="J440" si="375">+D440/H439</f>
        <v>6.0769156218803814E-4</v>
      </c>
      <c r="K440" s="16"/>
      <c r="L440" s="16"/>
      <c r="M440" s="16"/>
      <c r="N440" s="16">
        <f t="shared" ref="N440" si="376">SUM(D434:D440)</f>
        <v>168821</v>
      </c>
      <c r="O440" s="16">
        <f t="shared" ref="O440" si="377">+H440/BW440</f>
        <v>77805.285382830625</v>
      </c>
      <c r="P440" s="41"/>
      <c r="Q440" s="17">
        <f t="shared" ref="Q440" si="378">SUM(D434:D440)</f>
        <v>168821</v>
      </c>
      <c r="R440" s="16"/>
      <c r="S440" s="60">
        <f t="shared" ref="S440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" si="380">SUM(W435:W440)</f>
        <v>3013</v>
      </c>
      <c r="AA440" s="33">
        <f t="shared" ref="AA440" si="381">+AA439+W440</f>
        <v>592562</v>
      </c>
      <c r="AB440" s="33"/>
      <c r="AC440" s="46">
        <f t="shared" ref="AC440" si="382">+AA440/H440</f>
        <v>1.767044258679186E-2</v>
      </c>
      <c r="AD440" s="33"/>
      <c r="AE440" s="33">
        <f t="shared" ref="AE440" si="383">+AA440/BW440</f>
        <v>1374.8538283062644</v>
      </c>
      <c r="AF440" s="50"/>
      <c r="AG440" s="33">
        <f t="shared" ref="AG440" si="384">SUM(W434:W440)</f>
        <v>3746</v>
      </c>
      <c r="AH440" s="33">
        <f t="shared" ref="AH440" si="385">SUM(D411:D883)</f>
        <v>1123545513.060914</v>
      </c>
      <c r="AI440" s="213">
        <f t="shared" ref="AI440" si="386">+(AG440-AG433)/AG433</f>
        <v>-0.11567516525023608</v>
      </c>
      <c r="AJ440" s="50"/>
      <c r="AK440" s="111"/>
      <c r="AL440" s="23">
        <f t="shared" ref="AL440" si="387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" si="388">+AL440/AP439</f>
        <v>2.2425433841697707E-3</v>
      </c>
      <c r="AS440" s="25"/>
      <c r="AT440" s="25"/>
      <c r="AU440" s="24"/>
      <c r="AV440" s="298">
        <f t="shared" ref="AV440" si="389">+AP440/H440</f>
        <v>0.82196773085575814</v>
      </c>
      <c r="AW440" s="298"/>
      <c r="AX440" s="24">
        <f t="shared" ref="AX440" si="390">+AP440/BW440</f>
        <v>63953.433874709975</v>
      </c>
      <c r="AY440" s="308"/>
      <c r="AZ440" s="111"/>
      <c r="BA440" s="65">
        <f t="shared" ref="BA440" si="391">+BC440-BC439</f>
        <v>1063757</v>
      </c>
      <c r="BB440" s="66"/>
      <c r="BC440" s="66">
        <v>474368613</v>
      </c>
      <c r="BD440" s="66"/>
      <c r="BE440" s="66">
        <f t="shared" ref="BE440" si="392">+D440</f>
        <v>20366</v>
      </c>
      <c r="BF440" s="66"/>
      <c r="BG440" s="144">
        <f t="shared" ref="BG440" si="393">+BE440/BA440</f>
        <v>1.9145349924841858E-2</v>
      </c>
      <c r="BH440" s="66"/>
      <c r="BI440" s="170"/>
      <c r="BJ440" s="66"/>
      <c r="BK440" s="66">
        <f t="shared" ref="BK440" si="394">SUM(BA434:BA440)</f>
        <v>7145817</v>
      </c>
      <c r="BL440" s="66"/>
      <c r="BM440" s="144">
        <f t="shared" ref="BM440" si="395">+Q440/BK440</f>
        <v>2.3625150210255873E-2</v>
      </c>
      <c r="BN440" s="65">
        <f t="shared" ref="BN440" si="396">+BC440/BW440</f>
        <v>1100623.2320185616</v>
      </c>
      <c r="BO440" s="66"/>
      <c r="BP440" s="66">
        <f t="shared" ref="BP440" si="397">+BP439+BE440</f>
        <v>32627100</v>
      </c>
      <c r="BQ440" s="66"/>
      <c r="BR440" s="435">
        <f t="shared" ref="BR440" si="398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ref="H441" si="399">+H440+D441</f>
        <v>33556816</v>
      </c>
      <c r="I441" s="16"/>
      <c r="J441" s="436">
        <f t="shared" ref="J441" si="400">+D441/H440</f>
        <v>6.780565131386645E-4</v>
      </c>
      <c r="K441" s="16"/>
      <c r="L441" s="16"/>
      <c r="M441" s="16"/>
      <c r="N441" s="16">
        <f t="shared" ref="N441" si="401">SUM(D435:D441)</f>
        <v>164053</v>
      </c>
      <c r="O441" s="16">
        <f t="shared" ref="O441" si="402">+H441/BW441</f>
        <v>77677.814814814818</v>
      </c>
      <c r="P441" s="41"/>
      <c r="Q441" s="17">
        <f t="shared" ref="Q441" si="403">SUM(D435:D441)</f>
        <v>164053</v>
      </c>
      <c r="R441" s="16"/>
      <c r="S441" s="60">
        <f t="shared" ref="S441" si="404">+(Q441-Q434)/Q434</f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ref="Z441" si="405">SUM(W436:W441)</f>
        <v>3046</v>
      </c>
      <c r="AA441" s="33">
        <f t="shared" ref="AA441" si="406">+AA440+W441</f>
        <v>593231</v>
      </c>
      <c r="AB441" s="33"/>
      <c r="AC441" s="46">
        <f t="shared" ref="AC441" si="407">+AA441/H441</f>
        <v>1.7678405484000629E-2</v>
      </c>
      <c r="AD441" s="33"/>
      <c r="AE441" s="33">
        <f t="shared" ref="AE441" si="408">+AA441/BW441</f>
        <v>1373.2199074074074</v>
      </c>
      <c r="AF441" s="50"/>
      <c r="AG441" s="33">
        <f t="shared" ref="AG441" si="409">SUM(W435:W441)</f>
        <v>3682</v>
      </c>
      <c r="AH441" s="33">
        <f t="shared" ref="AH441" si="410">SUM(D412:D884)</f>
        <v>1123510777.060914</v>
      </c>
      <c r="AI441" s="213">
        <f t="shared" ref="AI441" si="411">+(AG441-AG434)/AG434</f>
        <v>-0.12872692853762424</v>
      </c>
      <c r="AJ441" s="50"/>
      <c r="AK441" s="111"/>
      <c r="AL441" s="23">
        <f t="shared" ref="AL441" si="412">+AP441-AP440</f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ref="AR441" si="413">+AL441/AP440</f>
        <v>1.5423054695030789E-3</v>
      </c>
      <c r="AS441" s="25"/>
      <c r="AT441" s="25"/>
      <c r="AU441" s="24"/>
      <c r="AV441" s="298">
        <f t="shared" ref="AV441" si="414">+AP441/H441</f>
        <v>0.82267763425469209</v>
      </c>
      <c r="AW441" s="298"/>
      <c r="AX441" s="24">
        <f t="shared" ref="AX441" si="415">+AP441/BW441</f>
        <v>63903.800925925927</v>
      </c>
      <c r="AY441" s="308"/>
      <c r="AZ441" s="111"/>
      <c r="BA441" s="65">
        <f t="shared" ref="BA441" si="416">+BC441-BC440</f>
        <v>858209</v>
      </c>
      <c r="BB441" s="66"/>
      <c r="BC441" s="66">
        <v>475226822</v>
      </c>
      <c r="BD441" s="66"/>
      <c r="BE441" s="66">
        <f t="shared" ref="BE441" si="417">+D441</f>
        <v>22738</v>
      </c>
      <c r="BF441" s="66"/>
      <c r="BG441" s="144">
        <f t="shared" ref="BG441" si="418">+BE441/BA441</f>
        <v>2.6494711661145479E-2</v>
      </c>
      <c r="BH441" s="66"/>
      <c r="BI441" s="170"/>
      <c r="BJ441" s="66"/>
      <c r="BK441" s="66">
        <f t="shared" ref="BK441" si="419">SUM(BA435:BA441)</f>
        <v>7158720</v>
      </c>
      <c r="BL441" s="66"/>
      <c r="BM441" s="144">
        <f t="shared" ref="BM441" si="420">+Q441/BK441</f>
        <v>2.2916526976889725E-2</v>
      </c>
      <c r="BN441" s="65">
        <f t="shared" ref="BN441" si="421">+BC441/BW441</f>
        <v>1100062.0879629629</v>
      </c>
      <c r="BO441" s="66"/>
      <c r="BP441" s="66">
        <f t="shared" ref="BP441" si="422">+BP440+BE441</f>
        <v>32649838</v>
      </c>
      <c r="BQ441" s="66"/>
      <c r="BR441" s="435">
        <f t="shared" ref="BR441" si="423">+BP441/BC441</f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518" si="424">1+B441</f>
        <v>44342</v>
      </c>
      <c r="C442" s="61"/>
      <c r="D442" s="17">
        <v>23500</v>
      </c>
      <c r="E442" s="16"/>
      <c r="F442" s="16"/>
      <c r="G442" s="16"/>
      <c r="H442" s="16">
        <f t="shared" ref="H442" si="425">+H441+D442</f>
        <v>33580316</v>
      </c>
      <c r="I442" s="16"/>
      <c r="J442" s="436">
        <f t="shared" ref="J442" si="426">+D442/H441</f>
        <v>7.0030482033813933E-4</v>
      </c>
      <c r="K442" s="16"/>
      <c r="L442" s="16"/>
      <c r="M442" s="16"/>
      <c r="N442" s="16">
        <f t="shared" ref="N442" si="427">SUM(D436:D442)</f>
        <v>159012</v>
      </c>
      <c r="O442" s="16">
        <f t="shared" ref="O442" si="428">+H442/BW442</f>
        <v>77552.692840646647</v>
      </c>
      <c r="P442" s="41"/>
      <c r="Q442" s="17">
        <f t="shared" ref="Q442" si="429">SUM(D436:D442)</f>
        <v>159012</v>
      </c>
      <c r="R442" s="16"/>
      <c r="S442" s="60">
        <f t="shared" ref="S442" si="430">+(Q442-Q435)/Q435</f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ref="Z442" si="431">SUM(W437:W442)</f>
        <v>2994</v>
      </c>
      <c r="AA442" s="33">
        <f t="shared" ref="AA442" si="432">+AA441+W442</f>
        <v>593838</v>
      </c>
      <c r="AB442" s="33"/>
      <c r="AC442" s="46">
        <f t="shared" ref="AC442" si="433">+AA442/H442</f>
        <v>1.7684109941073813E-2</v>
      </c>
      <c r="AD442" s="33"/>
      <c r="AE442" s="33">
        <f t="shared" ref="AE442" si="434">+AA442/BW442</f>
        <v>1371.4503464203233</v>
      </c>
      <c r="AF442" s="50"/>
      <c r="AG442" s="33">
        <f t="shared" ref="AG442" si="435">SUM(W436:W442)</f>
        <v>3653</v>
      </c>
      <c r="AH442" s="33">
        <f t="shared" ref="AH442" si="436">SUM(D413:D885)</f>
        <v>1123463321.060914</v>
      </c>
      <c r="AI442" s="213">
        <f t="shared" ref="AI442" si="437">+(AG442-AG435)/AG435</f>
        <v>-9.1519522506839091E-2</v>
      </c>
      <c r="AJ442" s="50"/>
      <c r="AK442" s="111"/>
      <c r="AL442" s="23">
        <f t="shared" ref="AL442" si="438">+AP442-AP441</f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ref="AR442" si="439">+AL442/AP441</f>
        <v>2.0222091640784423E-3</v>
      </c>
      <c r="AS442" s="25"/>
      <c r="AT442" s="25"/>
      <c r="AU442" s="24"/>
      <c r="AV442" s="298">
        <f t="shared" ref="AV442" si="440">+AP442/H442</f>
        <v>0.82376437434358862</v>
      </c>
      <c r="AW442" s="298"/>
      <c r="AX442" s="24">
        <f t="shared" ref="AX442" si="441">+AP442/BW442</f>
        <v>63885.145496535799</v>
      </c>
      <c r="AY442" s="308"/>
      <c r="AZ442" s="111"/>
      <c r="BA442" s="65">
        <f t="shared" ref="BA442" si="442">+BC442-BC441</f>
        <v>913421</v>
      </c>
      <c r="BB442" s="66"/>
      <c r="BC442" s="66">
        <v>476140243</v>
      </c>
      <c r="BD442" s="66"/>
      <c r="BE442" s="66">
        <f t="shared" ref="BE442" si="443">+D442</f>
        <v>23500</v>
      </c>
      <c r="BF442" s="66"/>
      <c r="BG442" s="144">
        <f t="shared" ref="BG442" si="444">+BE442/BA442</f>
        <v>2.5727457546958085E-2</v>
      </c>
      <c r="BH442" s="66"/>
      <c r="BI442" s="170"/>
      <c r="BJ442" s="66"/>
      <c r="BK442" s="66">
        <f t="shared" ref="BK442" si="445">SUM(BA436:BA442)</f>
        <v>7194641</v>
      </c>
      <c r="BL442" s="66"/>
      <c r="BM442" s="144">
        <f t="shared" ref="BM442" si="446">+Q442/BK442</f>
        <v>2.2101450232193655E-2</v>
      </c>
      <c r="BN442" s="65">
        <f t="shared" ref="BN442" si="447">+BC442/BW442</f>
        <v>1099631.0461893764</v>
      </c>
      <c r="BO442" s="66"/>
      <c r="BP442" s="66">
        <f t="shared" ref="BP442" si="448">+BP441+BE442</f>
        <v>32673338</v>
      </c>
      <c r="BQ442" s="66"/>
      <c r="BR442" s="435">
        <f t="shared" ref="BR442" si="449">+BP442/BC442</f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424"/>
        <v>44343</v>
      </c>
      <c r="C443" s="61"/>
      <c r="D443" s="17">
        <v>24393</v>
      </c>
      <c r="E443" s="16"/>
      <c r="F443" s="16"/>
      <c r="G443" s="16"/>
      <c r="H443" s="16">
        <f t="shared" ref="H443" si="450">+H442+D443</f>
        <v>33604709</v>
      </c>
      <c r="I443" s="16"/>
      <c r="J443" s="436">
        <f t="shared" ref="J443" si="451">+D443/H442</f>
        <v>7.2640769669945929E-4</v>
      </c>
      <c r="K443" s="16"/>
      <c r="L443" s="16"/>
      <c r="M443" s="16"/>
      <c r="N443" s="16">
        <f t="shared" ref="N443" si="452">SUM(D437:D443)</f>
        <v>153191</v>
      </c>
      <c r="O443" s="16">
        <f t="shared" ref="O443" si="453">+H443/BW443</f>
        <v>77430.205069124422</v>
      </c>
      <c r="P443" s="41"/>
      <c r="Q443" s="17">
        <f t="shared" ref="Q443" si="454">SUM(D437:D443)</f>
        <v>153191</v>
      </c>
      <c r="R443" s="16"/>
      <c r="S443" s="60">
        <f t="shared" ref="S443" si="455">+(Q443-Q436)/Q436</f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ref="Z443" si="456">SUM(W438:W443)</f>
        <v>2967</v>
      </c>
      <c r="AA443" s="33">
        <f t="shared" ref="AA443" si="457">+AA442+W443</f>
        <v>594468</v>
      </c>
      <c r="AB443" s="33"/>
      <c r="AC443" s="46">
        <f t="shared" ref="AC443" si="458">+AA443/H443</f>
        <v>1.7690020764649383E-2</v>
      </c>
      <c r="AD443" s="33"/>
      <c r="AE443" s="33">
        <f t="shared" ref="AE443" si="459">+AA443/BW443</f>
        <v>1369.741935483871</v>
      </c>
      <c r="AF443" s="50"/>
      <c r="AG443" s="33">
        <f t="shared" ref="AG443" si="460">SUM(W437:W443)</f>
        <v>3624</v>
      </c>
      <c r="AH443" s="33">
        <f t="shared" ref="AH443" si="461">SUM(D414:D886)</f>
        <v>1123411275.060914</v>
      </c>
      <c r="AI443" s="213">
        <f t="shared" ref="AI443" si="462">+(AG443-AG436)/AG436</f>
        <v>-7.5038284839203676E-2</v>
      </c>
      <c r="AJ443" s="50"/>
      <c r="AK443" s="111"/>
      <c r="AL443" s="23">
        <f t="shared" ref="AL443" si="463">+AP443-AP442</f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ref="AR443" si="464">+AL443/AP442</f>
        <v>1.4319505544520066E-3</v>
      </c>
      <c r="AS443" s="25"/>
      <c r="AT443" s="25"/>
      <c r="AU443" s="24"/>
      <c r="AV443" s="298">
        <f t="shared" ref="AV443" si="465">+AP443/H443</f>
        <v>0.82434515353190529</v>
      </c>
      <c r="AW443" s="298"/>
      <c r="AX443" s="24">
        <f t="shared" ref="AX443" si="466">+AP443/BW443</f>
        <v>63829.214285714283</v>
      </c>
      <c r="AY443" s="308"/>
      <c r="AZ443" s="111"/>
      <c r="BA443" s="65">
        <f t="shared" ref="BA443" si="467">+BC443-BC442</f>
        <v>1008406</v>
      </c>
      <c r="BB443" s="66"/>
      <c r="BC443" s="66">
        <v>477148649</v>
      </c>
      <c r="BD443" s="66"/>
      <c r="BE443" s="66">
        <f t="shared" ref="BE443" si="468">+D443</f>
        <v>24393</v>
      </c>
      <c r="BF443" s="66"/>
      <c r="BG443" s="144">
        <f t="shared" ref="BG443" si="469">+BE443/BA443</f>
        <v>2.4189661703718543E-2</v>
      </c>
      <c r="BH443" s="66"/>
      <c r="BI443" s="170"/>
      <c r="BJ443" s="66"/>
      <c r="BK443" s="66">
        <f t="shared" ref="BK443" si="470">SUM(BA437:BA443)</f>
        <v>7030345</v>
      </c>
      <c r="BL443" s="66"/>
      <c r="BM443" s="144">
        <f t="shared" ref="BM443" si="471">+Q443/BK443</f>
        <v>2.1789969055572664E-2</v>
      </c>
      <c r="BN443" s="65">
        <f t="shared" ref="BN443" si="472">+BC443/BW443</f>
        <v>1099420.8502304147</v>
      </c>
      <c r="BO443" s="66"/>
      <c r="BP443" s="66">
        <f t="shared" ref="BP443" si="473">+BP442+BE443</f>
        <v>32697731</v>
      </c>
      <c r="BQ443" s="66"/>
      <c r="BR443" s="435">
        <f t="shared" ref="BR443" si="474">+BP443/BC443</f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424"/>
        <v>44344</v>
      </c>
      <c r="C444" s="61"/>
      <c r="D444" s="17">
        <v>22813</v>
      </c>
      <c r="E444" s="16"/>
      <c r="F444" s="16"/>
      <c r="G444" s="16"/>
      <c r="H444" s="16">
        <f t="shared" ref="H444" si="475">+H443+D444</f>
        <v>33627522</v>
      </c>
      <c r="I444" s="16"/>
      <c r="J444" s="436">
        <f t="shared" ref="J444" si="476">+D444/H443</f>
        <v>6.7886319146521991E-4</v>
      </c>
      <c r="K444" s="16"/>
      <c r="L444" s="16"/>
      <c r="M444" s="16"/>
      <c r="N444" s="16">
        <f t="shared" ref="N444" si="477">SUM(D438:D444)</f>
        <v>146990</v>
      </c>
      <c r="O444" s="16">
        <f t="shared" ref="O444" si="478">+H444/BW444</f>
        <v>77304.64827586207</v>
      </c>
      <c r="P444" s="41"/>
      <c r="Q444" s="17">
        <f t="shared" ref="Q444" si="479">SUM(D438:D444)</f>
        <v>146990</v>
      </c>
      <c r="R444" s="16"/>
      <c r="S444" s="60">
        <f t="shared" ref="S444" si="480">+(Q444-Q437)/Q437</f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ref="Z444" si="481">SUM(W439:W444)</f>
        <v>3126</v>
      </c>
      <c r="AA444" s="33">
        <f t="shared" ref="AA444" si="482">+AA443+W444</f>
        <v>595095</v>
      </c>
      <c r="AB444" s="33"/>
      <c r="AC444" s="46">
        <f t="shared" ref="AC444" si="483">+AA444/H444</f>
        <v>1.7696665249375198E-2</v>
      </c>
      <c r="AD444" s="33"/>
      <c r="AE444" s="33">
        <f t="shared" ref="AE444" si="484">+AA444/BW444</f>
        <v>1368.0344827586207</v>
      </c>
      <c r="AF444" s="50"/>
      <c r="AG444" s="33">
        <f t="shared" ref="AG444" si="485">SUM(W438:W444)</f>
        <v>3594</v>
      </c>
      <c r="AH444" s="33">
        <f t="shared" ref="AH444" si="486">SUM(D415:D887)</f>
        <v>1123354671.060914</v>
      </c>
      <c r="AI444" s="213">
        <f t="shared" ref="AI444" si="487">+(AG444-AG437)/AG437</f>
        <v>-6.4549713690786048E-2</v>
      </c>
      <c r="AJ444" s="50"/>
      <c r="AK444" s="111"/>
      <c r="AL444" s="23">
        <f t="shared" ref="AL444" si="488">+AP444-AP443</f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ref="AR444" si="489">+AL444/AP443</f>
        <v>2.3522231109304897E-3</v>
      </c>
      <c r="AS444" s="25"/>
      <c r="AT444" s="25"/>
      <c r="AU444" s="24"/>
      <c r="AV444" s="298">
        <f t="shared" ref="AV444" si="490">+AP444/H444</f>
        <v>0.82572364386528396</v>
      </c>
      <c r="AW444" s="298"/>
      <c r="AX444" s="24">
        <f t="shared" ref="AX444" si="491">+AP444/BW444</f>
        <v>63832.275862068964</v>
      </c>
      <c r="AY444" s="308"/>
      <c r="AZ444" s="111"/>
      <c r="BA444" s="65">
        <f t="shared" ref="BA444" si="492">+BC444-BC443</f>
        <v>992768</v>
      </c>
      <c r="BB444" s="66"/>
      <c r="BC444" s="66">
        <v>478141417</v>
      </c>
      <c r="BD444" s="66"/>
      <c r="BE444" s="66">
        <f t="shared" ref="BE444" si="493">+D444</f>
        <v>22813</v>
      </c>
      <c r="BF444" s="66"/>
      <c r="BG444" s="144">
        <f t="shared" ref="BG444" si="494">+BE444/BA444</f>
        <v>2.297918546931408E-2</v>
      </c>
      <c r="BH444" s="66"/>
      <c r="BI444" s="170"/>
      <c r="BJ444" s="66"/>
      <c r="BK444" s="66">
        <f t="shared" ref="BK444" si="495">SUM(BA438:BA444)</f>
        <v>6597505</v>
      </c>
      <c r="BL444" s="66"/>
      <c r="BM444" s="144">
        <f t="shared" ref="BM444" si="496">+Q444/BK444</f>
        <v>2.2279634498192879E-2</v>
      </c>
      <c r="BN444" s="65">
        <f t="shared" ref="BN444" si="497">+BC444/BW444</f>
        <v>1099175.6712643679</v>
      </c>
      <c r="BO444" s="66"/>
      <c r="BP444" s="66">
        <f t="shared" ref="BP444" si="498">+BP443+BE444</f>
        <v>32720544</v>
      </c>
      <c r="BQ444" s="66"/>
      <c r="BR444" s="435">
        <f t="shared" ref="BR444" si="499">+BP444/BC444</f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424"/>
        <v>44345</v>
      </c>
      <c r="C445" s="61"/>
      <c r="D445" s="17">
        <v>12661</v>
      </c>
      <c r="E445" s="16"/>
      <c r="F445" s="16"/>
      <c r="G445" s="16"/>
      <c r="H445" s="16">
        <f t="shared" ref="H445" si="500">+H444+D445</f>
        <v>33640183</v>
      </c>
      <c r="I445" s="16"/>
      <c r="J445" s="436">
        <f t="shared" ref="J445" si="501">+D445/H444</f>
        <v>3.7650707655473395E-4</v>
      </c>
      <c r="K445" s="16"/>
      <c r="L445" s="16"/>
      <c r="M445" s="16"/>
      <c r="N445" s="16">
        <f t="shared" ref="N445" si="502">SUM(D439:D445)</f>
        <v>140012</v>
      </c>
      <c r="O445" s="16">
        <f t="shared" ref="O445" si="503">+H445/BW445</f>
        <v>77156.383027522941</v>
      </c>
      <c r="P445" s="41"/>
      <c r="Q445" s="17">
        <f t="shared" ref="Q445" si="504">SUM(D439:D445)</f>
        <v>140012</v>
      </c>
      <c r="R445" s="16"/>
      <c r="S445" s="60">
        <f t="shared" ref="S445" si="505">+(Q445-Q438)/Q438</f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ref="Z445" si="506">SUM(W440:W445)</f>
        <v>3248</v>
      </c>
      <c r="AA445" s="33">
        <f t="shared" ref="AA445" si="507">+AA444+W445</f>
        <v>595445</v>
      </c>
      <c r="AB445" s="33"/>
      <c r="AC445" s="46">
        <f t="shared" ref="AC445" si="508">+AA445/H445</f>
        <v>1.770040906138947E-2</v>
      </c>
      <c r="AD445" s="33"/>
      <c r="AE445" s="33">
        <f t="shared" ref="AE445" si="509">+AA445/BW445</f>
        <v>1365.6995412844037</v>
      </c>
      <c r="AF445" s="50"/>
      <c r="AG445" s="33">
        <f t="shared" ref="AG445" si="510">SUM(W439:W445)</f>
        <v>3476</v>
      </c>
      <c r="AH445" s="33">
        <f t="shared" ref="AH445" si="511">SUM(D416:D888)</f>
        <v>1123295402.060914</v>
      </c>
      <c r="AI445" s="213">
        <f t="shared" ref="AI445" si="512">+(AG445-AG438)/AG438</f>
        <v>-8.7903437418000524E-2</v>
      </c>
      <c r="AJ445" s="50"/>
      <c r="AK445" s="111"/>
      <c r="AL445" s="23">
        <f t="shared" ref="AL445" si="513">+AP445-AP444</f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ref="AR445" si="514">+AL445/AP444</f>
        <v>1.8698788203567972E-3</v>
      </c>
      <c r="AS445" s="25"/>
      <c r="AT445" s="25"/>
      <c r="AU445" s="24"/>
      <c r="AV445" s="298">
        <f t="shared" ref="AV445" si="515">+AP445/H445</f>
        <v>0.82695629212242994</v>
      </c>
      <c r="AW445" s="298"/>
      <c r="AX445" s="24">
        <f t="shared" ref="AX445" si="516">+AP445/BW445</f>
        <v>63804.956422018346</v>
      </c>
      <c r="AY445" s="308"/>
      <c r="AZ445" s="111"/>
      <c r="BA445" s="65">
        <f t="shared" ref="BA445" si="517">+BC445-BC444</f>
        <v>775719</v>
      </c>
      <c r="BB445" s="66"/>
      <c r="BC445" s="66">
        <v>478917136</v>
      </c>
      <c r="BD445" s="66"/>
      <c r="BE445" s="66">
        <f t="shared" ref="BE445" si="518">+D445</f>
        <v>12661</v>
      </c>
      <c r="BF445" s="66"/>
      <c r="BG445" s="144">
        <f t="shared" ref="BG445" si="519">+BE445/BA445</f>
        <v>1.6321631931150327E-2</v>
      </c>
      <c r="BH445" s="66"/>
      <c r="BI445" s="170"/>
      <c r="BJ445" s="66"/>
      <c r="BK445" s="66">
        <f t="shared" ref="BK445" si="520">SUM(BA439:BA445)</f>
        <v>6378525</v>
      </c>
      <c r="BL445" s="66"/>
      <c r="BM445" s="144">
        <f t="shared" ref="BM445" si="521">+Q445/BK445</f>
        <v>2.1950529315162989E-2</v>
      </c>
      <c r="BN445" s="65">
        <f t="shared" ref="BN445" si="522">+BC445/BW445</f>
        <v>1098433.7981651376</v>
      </c>
      <c r="BO445" s="66"/>
      <c r="BP445" s="66">
        <f t="shared" ref="BP445" si="523">+BP444+BE445</f>
        <v>32733205</v>
      </c>
      <c r="BQ445" s="66"/>
      <c r="BR445" s="435">
        <f t="shared" ref="BR445" si="524">+BP445/BC445</f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424"/>
        <v>44346</v>
      </c>
      <c r="C446" s="61"/>
      <c r="D446" s="17">
        <v>7750</v>
      </c>
      <c r="E446" s="16"/>
      <c r="F446" s="16"/>
      <c r="G446" s="16"/>
      <c r="H446" s="16">
        <f t="shared" ref="H446" si="525">+H445+D446</f>
        <v>33647933</v>
      </c>
      <c r="I446" s="16"/>
      <c r="J446" s="436">
        <f t="shared" ref="J446" si="526">+D446/H445</f>
        <v>2.3037924615332801E-4</v>
      </c>
      <c r="K446" s="16"/>
      <c r="L446" s="16"/>
      <c r="M446" s="16"/>
      <c r="N446" s="16">
        <f t="shared" ref="N446" si="527">SUM(D440:D446)</f>
        <v>134221</v>
      </c>
      <c r="O446" s="16">
        <f t="shared" ref="O446" si="528">+H446/BW446</f>
        <v>76997.558352402746</v>
      </c>
      <c r="P446" s="41"/>
      <c r="Q446" s="17">
        <f t="shared" ref="Q446" si="529">SUM(D440:D446)</f>
        <v>134221</v>
      </c>
      <c r="R446" s="16"/>
      <c r="S446" s="60">
        <f t="shared" ref="S446" si="530">+(Q446-Q439)/Q439</f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ref="Z446" si="531">SUM(W441:W446)</f>
        <v>3007</v>
      </c>
      <c r="AA446" s="33">
        <f t="shared" ref="AA446" si="532">+AA445+W446</f>
        <v>595569</v>
      </c>
      <c r="AB446" s="33"/>
      <c r="AC446" s="46">
        <f t="shared" ref="AC446" si="533">+AA446/H446</f>
        <v>1.7700017412659495E-2</v>
      </c>
      <c r="AD446" s="33"/>
      <c r="AE446" s="33">
        <f t="shared" ref="AE446" si="534">+AA446/BW446</f>
        <v>1362.8581235697941</v>
      </c>
      <c r="AF446" s="50"/>
      <c r="AG446" s="33">
        <f t="shared" ref="AG446" si="535">SUM(W440:W446)</f>
        <v>3372</v>
      </c>
      <c r="AH446" s="33">
        <f t="shared" ref="AH446" si="536">SUM(D417:D889)</f>
        <v>1123235496.060914</v>
      </c>
      <c r="AI446" s="213">
        <f t="shared" ref="AI446" si="537">+(AG446-AG439)/AG439</f>
        <v>-0.1008</v>
      </c>
      <c r="AJ446" s="50"/>
      <c r="AK446" s="111"/>
      <c r="AL446" s="23">
        <f t="shared" ref="AL446" si="538">+AP446-AP445</f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ref="AR446" si="539">+AL446/AP445</f>
        <v>7.880596259508038E-4</v>
      </c>
      <c r="AS446" s="25"/>
      <c r="AT446" s="25"/>
      <c r="AU446" s="24"/>
      <c r="AV446" s="298">
        <f t="shared" ref="AV446" si="540">+AP446/H446</f>
        <v>0.82741736320028925</v>
      </c>
      <c r="AW446" s="298"/>
      <c r="AX446" s="24">
        <f t="shared" ref="AX446" si="541">+AP446/BW446</f>
        <v>63709.116704805492</v>
      </c>
      <c r="AY446" s="308"/>
      <c r="AZ446" s="111"/>
      <c r="BA446" s="65">
        <f t="shared" ref="BA446" si="542">+BC446-BC445</f>
        <v>573759</v>
      </c>
      <c r="BB446" s="66"/>
      <c r="BC446" s="66">
        <v>479490895</v>
      </c>
      <c r="BD446" s="66"/>
      <c r="BE446" s="66">
        <f t="shared" ref="BE446" si="543">+D446</f>
        <v>7750</v>
      </c>
      <c r="BF446" s="66"/>
      <c r="BG446" s="144">
        <f t="shared" ref="BG446" si="544">+BE446/BA446</f>
        <v>1.350741339133678E-2</v>
      </c>
      <c r="BH446" s="66"/>
      <c r="BI446" s="170"/>
      <c r="BJ446" s="66"/>
      <c r="BK446" s="66">
        <f t="shared" ref="BK446" si="545">SUM(BA440:BA446)</f>
        <v>6186039</v>
      </c>
      <c r="BL446" s="66"/>
      <c r="BM446" s="144">
        <f t="shared" ref="BM446" si="546">+Q446/BK446</f>
        <v>2.1697406046098319E-2</v>
      </c>
      <c r="BN446" s="65">
        <f t="shared" ref="BN446" si="547">+BC446/BW446</f>
        <v>1097233.1693363844</v>
      </c>
      <c r="BO446" s="66"/>
      <c r="BP446" s="66">
        <f t="shared" ref="BP446" si="548">+BP445+BE446</f>
        <v>32740955</v>
      </c>
      <c r="BQ446" s="66"/>
      <c r="BR446" s="435">
        <f t="shared" ref="BR446" si="549">+BP446/BC446</f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424"/>
        <v>44347</v>
      </c>
      <c r="C447" s="61"/>
      <c r="D447" s="17">
        <v>5235</v>
      </c>
      <c r="E447" s="16"/>
      <c r="F447" s="16"/>
      <c r="G447" s="16"/>
      <c r="H447" s="16">
        <f t="shared" ref="H447" si="550">+H446+D447</f>
        <v>33653168</v>
      </c>
      <c r="I447" s="16"/>
      <c r="J447" s="436">
        <f t="shared" ref="J447" si="551">+D447/H446</f>
        <v>1.5558162220544126E-4</v>
      </c>
      <c r="K447" s="16"/>
      <c r="L447" s="16"/>
      <c r="M447" s="16"/>
      <c r="N447" s="16">
        <f t="shared" ref="N447" si="552">SUM(D441:D447)</f>
        <v>119090</v>
      </c>
      <c r="O447" s="16">
        <f t="shared" ref="O447" si="553">+H447/BW447</f>
        <v>76833.716894977173</v>
      </c>
      <c r="P447" s="41"/>
      <c r="Q447" s="17">
        <f t="shared" ref="Q447" si="554">SUM(D441:D447)</f>
        <v>119090</v>
      </c>
      <c r="R447" s="16"/>
      <c r="S447" s="60">
        <f t="shared" ref="S447" si="555">+(Q447-Q440)/Q440</f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ref="Z447" si="556">SUM(W442:W447)</f>
        <v>2453</v>
      </c>
      <c r="AA447" s="33">
        <f t="shared" ref="AA447" si="557">+AA446+W447</f>
        <v>595684</v>
      </c>
      <c r="AB447" s="33"/>
      <c r="AC447" s="46">
        <f t="shared" ref="AC447" si="558">+AA447/H447</f>
        <v>1.770068125532788E-2</v>
      </c>
      <c r="AD447" s="33"/>
      <c r="AE447" s="33">
        <f t="shared" ref="AE447" si="559">+AA447/BW447</f>
        <v>1360.0091324200914</v>
      </c>
      <c r="AF447" s="50"/>
      <c r="AG447" s="33">
        <f t="shared" ref="AG447" si="560">SUM(W441:W447)</f>
        <v>3122</v>
      </c>
      <c r="AH447" s="33">
        <f t="shared" ref="AH447" si="561">SUM(D418:D890)</f>
        <v>1123193462.060914</v>
      </c>
      <c r="AI447" s="213">
        <f t="shared" ref="AI447" si="562">+(AG447-AG440)/AG440</f>
        <v>-0.16657768286171917</v>
      </c>
      <c r="AJ447" s="50"/>
      <c r="AK447" s="111"/>
      <c r="AL447" s="23">
        <f t="shared" ref="AL447" si="563">+AP447-AP446</f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ref="AR447" si="564">+AL447/AP446</f>
        <v>8.2454278391447624E-4</v>
      </c>
      <c r="AS447" s="25"/>
      <c r="AT447" s="25"/>
      <c r="AU447" s="24"/>
      <c r="AV447" s="298">
        <f t="shared" ref="AV447" si="565">+AP447/H447</f>
        <v>0.82797078717819372</v>
      </c>
      <c r="AW447" s="298"/>
      <c r="AX447" s="24">
        <f t="shared" ref="AX447" si="566">+AP447/BW447</f>
        <v>63616.07305936073</v>
      </c>
      <c r="AY447" s="308"/>
      <c r="AZ447" s="111"/>
      <c r="BA447" s="65">
        <f t="shared" ref="BA447" si="567">+BC447-BC446</f>
        <v>439228</v>
      </c>
      <c r="BB447" s="66"/>
      <c r="BC447" s="66">
        <v>479930123</v>
      </c>
      <c r="BD447" s="66"/>
      <c r="BE447" s="66">
        <f t="shared" ref="BE447" si="568">+D447</f>
        <v>5235</v>
      </c>
      <c r="BF447" s="66"/>
      <c r="BG447" s="144">
        <f t="shared" ref="BG447" si="569">+BE447/BA447</f>
        <v>1.1918639066726164E-2</v>
      </c>
      <c r="BH447" s="66"/>
      <c r="BI447" s="170"/>
      <c r="BJ447" s="66"/>
      <c r="BK447" s="66">
        <f t="shared" ref="BK447" si="570">SUM(BA441:BA447)</f>
        <v>5561510</v>
      </c>
      <c r="BL447" s="66"/>
      <c r="BM447" s="144">
        <f t="shared" ref="BM447" si="571">+Q447/BK447</f>
        <v>2.1413249279422314E-2</v>
      </c>
      <c r="BN447" s="65">
        <f t="shared" ref="BN447" si="572">+BC447/BW447</f>
        <v>1095730.8744292238</v>
      </c>
      <c r="BO447" s="66"/>
      <c r="BP447" s="66">
        <f t="shared" ref="BP447" si="573">+BP446+BE447</f>
        <v>32746190</v>
      </c>
      <c r="BQ447" s="66"/>
      <c r="BR447" s="435">
        <f t="shared" ref="BR447" si="574">+BP447/BC447</f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424"/>
        <v>44348</v>
      </c>
      <c r="C448" s="61"/>
      <c r="D448" s="17">
        <v>12976</v>
      </c>
      <c r="E448" s="16"/>
      <c r="F448" s="16"/>
      <c r="G448" s="16"/>
      <c r="H448" s="16">
        <f t="shared" ref="H448" si="575">+H447+D448</f>
        <v>33666144</v>
      </c>
      <c r="I448" s="16"/>
      <c r="J448" s="436">
        <f t="shared" ref="J448" si="576">+D448/H447</f>
        <v>3.855803412029441E-4</v>
      </c>
      <c r="K448" s="16"/>
      <c r="L448" s="16"/>
      <c r="M448" s="16"/>
      <c r="N448" s="16">
        <f t="shared" ref="N448" si="577">SUM(D442:D448)</f>
        <v>109328</v>
      </c>
      <c r="O448" s="16">
        <f t="shared" ref="O448" si="578">+H448/BW448</f>
        <v>76688.255125284733</v>
      </c>
      <c r="P448" s="41"/>
      <c r="Q448" s="17">
        <f t="shared" ref="Q448" si="579">SUM(D442:D448)</f>
        <v>109328</v>
      </c>
      <c r="R448" s="16"/>
      <c r="S448" s="60">
        <f t="shared" ref="S448" si="580">+(Q448-Q441)/Q441</f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ref="Z448" si="581">SUM(W443:W448)</f>
        <v>2133</v>
      </c>
      <c r="AA448" s="33">
        <f t="shared" ref="AA448" si="582">+AA447+W448</f>
        <v>595971</v>
      </c>
      <c r="AB448" s="33"/>
      <c r="AC448" s="46">
        <f t="shared" ref="AC448" si="583">+AA448/H448</f>
        <v>1.7702383736016812E-2</v>
      </c>
      <c r="AD448" s="33"/>
      <c r="AE448" s="33">
        <f t="shared" ref="AE448" si="584">+AA448/BW448</f>
        <v>1357.5649202733484</v>
      </c>
      <c r="AF448" s="50"/>
      <c r="AG448" s="33">
        <f t="shared" ref="AG448" si="585">SUM(W442:W448)</f>
        <v>2740</v>
      </c>
      <c r="AH448" s="33">
        <f t="shared" ref="AH448" si="586">SUM(D419:D891)</f>
        <v>1123162761.060914</v>
      </c>
      <c r="AI448" s="213">
        <f t="shared" ref="AI448" si="587">+(AG448-AG441)/AG441</f>
        <v>-0.25583921781640412</v>
      </c>
      <c r="AJ448" s="50"/>
      <c r="AK448" s="111"/>
      <c r="AL448" s="23">
        <f t="shared" ref="AL448" si="588">+AP448-AP447</f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ref="AR448" si="589">+AL448/AP447</f>
        <v>2.7662375322281495E-3</v>
      </c>
      <c r="AS448" s="25"/>
      <c r="AT448" s="25"/>
      <c r="AU448" s="24"/>
      <c r="AV448" s="298">
        <f t="shared" ref="AV448" si="590">+AP448/H448</f>
        <v>0.82994114205654201</v>
      </c>
      <c r="AW448" s="298"/>
      <c r="AX448" s="24">
        <f t="shared" ref="AX448" si="591">+AP448/BW448</f>
        <v>63646.738041002282</v>
      </c>
      <c r="AY448" s="308"/>
      <c r="AZ448" s="111"/>
      <c r="BA448" s="65">
        <f t="shared" ref="BA448" si="592">+BC448-BC447</f>
        <v>1018663</v>
      </c>
      <c r="BB448" s="66"/>
      <c r="BC448" s="66">
        <v>480948786</v>
      </c>
      <c r="BD448" s="66"/>
      <c r="BE448" s="66">
        <f t="shared" ref="BE448" si="593">+D448</f>
        <v>12976</v>
      </c>
      <c r="BF448" s="66"/>
      <c r="BG448" s="144">
        <f t="shared" ref="BG448" si="594">+BE448/BA448</f>
        <v>1.2738265746375396E-2</v>
      </c>
      <c r="BH448" s="66"/>
      <c r="BI448" s="170"/>
      <c r="BJ448" s="66"/>
      <c r="BK448" s="66">
        <f t="shared" ref="BK448" si="595">SUM(BA442:BA448)</f>
        <v>5721964</v>
      </c>
      <c r="BL448" s="66"/>
      <c r="BM448" s="144">
        <f t="shared" ref="BM448" si="596">+Q448/BK448</f>
        <v>1.91067262918816E-2</v>
      </c>
      <c r="BN448" s="65">
        <f t="shared" ref="BN448" si="597">+BC448/BW448</f>
        <v>1095555.3211845104</v>
      </c>
      <c r="BO448" s="66"/>
      <c r="BP448" s="66">
        <f t="shared" ref="BP448" si="598">+BP447+BE448</f>
        <v>32759166</v>
      </c>
      <c r="BQ448" s="66"/>
      <c r="BR448" s="435">
        <f t="shared" ref="BR448" si="599">+BP448/BC448</f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424"/>
        <v>44349</v>
      </c>
      <c r="C449" s="61"/>
      <c r="D449" s="17">
        <v>16974</v>
      </c>
      <c r="E449" s="16"/>
      <c r="F449" s="16"/>
      <c r="G449" s="16"/>
      <c r="H449" s="16">
        <f t="shared" ref="H449" si="600">+H448+D449</f>
        <v>33683118</v>
      </c>
      <c r="I449" s="16"/>
      <c r="J449" s="436">
        <f t="shared" ref="J449" si="601">+D449/H448</f>
        <v>5.0418604518533518E-4</v>
      </c>
      <c r="K449" s="16"/>
      <c r="L449" s="16"/>
      <c r="M449" s="16"/>
      <c r="N449" s="16">
        <f t="shared" ref="N449" si="602">SUM(D443:D449)</f>
        <v>102802</v>
      </c>
      <c r="O449" s="16">
        <f t="shared" ref="O449" si="603">+H449/BW449</f>
        <v>76552.540909090909</v>
      </c>
      <c r="P449" s="41"/>
      <c r="Q449" s="17">
        <f t="shared" ref="Q449" si="604">SUM(D443:D449)</f>
        <v>102802</v>
      </c>
      <c r="R449" s="16"/>
      <c r="S449" s="60">
        <f t="shared" ref="S449" si="605">+(Q449-Q442)/Q442</f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ref="Z449" si="606">SUM(W444:W449)</f>
        <v>2017</v>
      </c>
      <c r="AA449" s="33">
        <f t="shared" ref="AA449" si="607">+AA448+W449</f>
        <v>596485</v>
      </c>
      <c r="AB449" s="33"/>
      <c r="AC449" s="46">
        <f t="shared" ref="AC449" si="608">+AA449/H449</f>
        <v>1.7708722808856353E-2</v>
      </c>
      <c r="AD449" s="33"/>
      <c r="AE449" s="33">
        <f t="shared" ref="AE449" si="609">+AA449/BW449</f>
        <v>1355.6477272727273</v>
      </c>
      <c r="AF449" s="50"/>
      <c r="AG449" s="33">
        <f t="shared" ref="AG449" si="610">SUM(W443:W449)</f>
        <v>2647</v>
      </c>
      <c r="AH449" s="33">
        <f t="shared" ref="AH449" si="611">SUM(D420:D892)</f>
        <v>1123122307.060914</v>
      </c>
      <c r="AI449" s="213">
        <f t="shared" ref="AI449" si="612">+(AG449-AG442)/AG442</f>
        <v>-0.27539009033670958</v>
      </c>
      <c r="AJ449" s="50"/>
      <c r="AK449" s="111"/>
      <c r="AL449" s="23">
        <f t="shared" ref="AL449" si="613">+AP449-AP448</f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ref="AR449" si="614">+AL449/AP448</f>
        <v>1.6317645683652914E-3</v>
      </c>
      <c r="AS449" s="25"/>
      <c r="AT449" s="25"/>
      <c r="AU449" s="24"/>
      <c r="AV449" s="298">
        <f t="shared" ref="AV449" si="615">+AP449/H449</f>
        <v>0.83087649427229393</v>
      </c>
      <c r="AW449" s="298"/>
      <c r="AX449" s="24">
        <f t="shared" ref="AX449" si="616">+AP449/BW449</f>
        <v>63605.706818181818</v>
      </c>
      <c r="AY449" s="308"/>
      <c r="AZ449" s="111"/>
      <c r="BA449" s="65">
        <f t="shared" ref="BA449" si="617">+BC449-BC448</f>
        <v>659207</v>
      </c>
      <c r="BB449" s="66"/>
      <c r="BC449" s="66">
        <v>481607993</v>
      </c>
      <c r="BD449" s="66"/>
      <c r="BE449" s="66">
        <f t="shared" ref="BE449" si="618">+D449</f>
        <v>16974</v>
      </c>
      <c r="BF449" s="66"/>
      <c r="BG449" s="144">
        <f t="shared" ref="BG449" si="619">+BE449/BA449</f>
        <v>2.5749119775730536E-2</v>
      </c>
      <c r="BH449" s="66"/>
      <c r="BI449" s="170"/>
      <c r="BJ449" s="66"/>
      <c r="BK449" s="66">
        <f t="shared" ref="BK449" si="620">SUM(BA443:BA449)</f>
        <v>5467750</v>
      </c>
      <c r="BL449" s="66"/>
      <c r="BM449" s="144">
        <f t="shared" ref="BM449" si="621">+Q449/BK449</f>
        <v>1.8801517991861368E-2</v>
      </c>
      <c r="BN449" s="65">
        <f t="shared" ref="BN449" si="622">+BC449/BW449</f>
        <v>1094563.6204545454</v>
      </c>
      <c r="BO449" s="66"/>
      <c r="BP449" s="66">
        <f t="shared" ref="BP449" si="623">+BP448+BE449</f>
        <v>32776140</v>
      </c>
      <c r="BQ449" s="66"/>
      <c r="BR449" s="435">
        <f t="shared" ref="BR449" si="624">+BP449/BC449</f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424"/>
        <v>44350</v>
      </c>
      <c r="C450" s="61"/>
      <c r="D450" s="17">
        <v>17821</v>
      </c>
      <c r="E450" s="16"/>
      <c r="F450" s="16"/>
      <c r="G450" s="16"/>
      <c r="H450" s="16">
        <f t="shared" ref="H450" si="625">+H449+D450</f>
        <v>33700939</v>
      </c>
      <c r="I450" s="16"/>
      <c r="J450" s="436">
        <f t="shared" ref="J450" si="626">+D450/H449</f>
        <v>5.2907809781742884E-4</v>
      </c>
      <c r="K450" s="16"/>
      <c r="L450" s="16"/>
      <c r="M450" s="16"/>
      <c r="N450" s="16">
        <f t="shared" ref="N450" si="627">SUM(D444:D450)</f>
        <v>96230</v>
      </c>
      <c r="O450" s="16">
        <f t="shared" ref="O450" si="628">+H450/BW450</f>
        <v>76419.36281179139</v>
      </c>
      <c r="P450" s="41"/>
      <c r="Q450" s="17">
        <f t="shared" ref="Q450" si="629">SUM(D444:D450)</f>
        <v>96230</v>
      </c>
      <c r="R450" s="16"/>
      <c r="S450" s="60">
        <f t="shared" ref="S450" si="630">+(Q450-Q443)/Q443</f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ref="Z450" si="631">SUM(W445:W450)</f>
        <v>1964</v>
      </c>
      <c r="AA450" s="33">
        <f t="shared" ref="AA450" si="632">+AA449+W450</f>
        <v>597059</v>
      </c>
      <c r="AB450" s="33"/>
      <c r="AC450" s="46">
        <f t="shared" ref="AC450" si="633">+AA450/H450</f>
        <v>1.7716390632320365E-2</v>
      </c>
      <c r="AD450" s="33"/>
      <c r="AE450" s="33">
        <f t="shared" ref="AE450" si="634">+AA450/BW450</f>
        <v>1353.875283446712</v>
      </c>
      <c r="AF450" s="50"/>
      <c r="AG450" s="33">
        <f t="shared" ref="AG450" si="635">SUM(W444:W450)</f>
        <v>2591</v>
      </c>
      <c r="AH450" s="33">
        <f t="shared" ref="AH450" si="636">SUM(D421:D893)</f>
        <v>1123079953.060914</v>
      </c>
      <c r="AI450" s="213">
        <f t="shared" ref="AI450" si="637">+(AG450-AG443)/AG443</f>
        <v>-0.28504415011037526</v>
      </c>
      <c r="AJ450" s="50"/>
      <c r="AK450" s="111"/>
      <c r="AL450" s="23">
        <f t="shared" ref="AL450" si="638">+AP450-AP449</f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ref="AR450" si="639">+AL450/AP449</f>
        <v>1.3958152911593732E-3</v>
      </c>
      <c r="AS450" s="25"/>
      <c r="AT450" s="25"/>
      <c r="AU450" s="24"/>
      <c r="AV450" s="298">
        <f t="shared" ref="AV450" si="640">+AP450/H450</f>
        <v>0.83159626501801631</v>
      </c>
      <c r="AW450" s="298"/>
      <c r="AX450" s="24">
        <f t="shared" ref="AX450" si="641">+AP450/BW450</f>
        <v>63550.056689342404</v>
      </c>
      <c r="AY450" s="308"/>
      <c r="AZ450" s="111"/>
      <c r="BA450" s="65">
        <f t="shared" ref="BA450" si="642">+BC450-BC449</f>
        <v>782831</v>
      </c>
      <c r="BB450" s="66"/>
      <c r="BC450" s="66">
        <v>482390824</v>
      </c>
      <c r="BD450" s="66"/>
      <c r="BE450" s="66">
        <f t="shared" ref="BE450" si="643">+D450</f>
        <v>17821</v>
      </c>
      <c r="BF450" s="66"/>
      <c r="BG450" s="144">
        <f t="shared" ref="BG450" si="644">+BE450/BA450</f>
        <v>2.2764811306654947E-2</v>
      </c>
      <c r="BH450" s="66"/>
      <c r="BI450" s="170"/>
      <c r="BJ450" s="66"/>
      <c r="BK450" s="66">
        <f t="shared" ref="BK450" si="645">SUM(BA444:BA450)</f>
        <v>5242175</v>
      </c>
      <c r="BL450" s="66"/>
      <c r="BM450" s="144">
        <f t="shared" ref="BM450" si="646">+Q450/BK450</f>
        <v>1.835688430851698E-2</v>
      </c>
      <c r="BN450" s="65">
        <f t="shared" ref="BN450" si="647">+BC450/BW450</f>
        <v>1093856.7437641723</v>
      </c>
      <c r="BO450" s="66"/>
      <c r="BP450" s="66">
        <f t="shared" ref="BP450" si="648">+BP449+BE450</f>
        <v>32793961</v>
      </c>
      <c r="BQ450" s="66"/>
      <c r="BR450" s="435">
        <f t="shared" ref="BR450" si="649">+BP450/BC450</f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424"/>
        <v>44351</v>
      </c>
      <c r="C451" s="61"/>
      <c r="D451" s="17">
        <v>16925</v>
      </c>
      <c r="E451" s="16"/>
      <c r="F451" s="16"/>
      <c r="G451" s="16"/>
      <c r="H451" s="16">
        <f t="shared" ref="H451" si="650">+H450+D451</f>
        <v>33717864</v>
      </c>
      <c r="I451" s="16"/>
      <c r="J451" s="436">
        <f t="shared" ref="J451" si="651">+D451/H450</f>
        <v>5.0221152591623636E-4</v>
      </c>
      <c r="K451" s="16"/>
      <c r="L451" s="16"/>
      <c r="M451" s="16"/>
      <c r="N451" s="16">
        <f t="shared" ref="N451" si="652">SUM(D445:D451)</f>
        <v>90342</v>
      </c>
      <c r="O451" s="16">
        <f t="shared" ref="O451" si="653">+H451/BW451</f>
        <v>76284.760180995479</v>
      </c>
      <c r="P451" s="41"/>
      <c r="Q451" s="17">
        <f t="shared" ref="Q451" si="654">SUM(D445:D451)</f>
        <v>90342</v>
      </c>
      <c r="R451" s="16"/>
      <c r="S451" s="60">
        <f t="shared" ref="S451" si="655">+(Q451-Q444)/Q444</f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ref="Z451" si="656">SUM(W446:W451)</f>
        <v>2134</v>
      </c>
      <c r="AA451" s="33">
        <f t="shared" ref="AA451" si="657">+AA450+W451</f>
        <v>597579</v>
      </c>
      <c r="AB451" s="33"/>
      <c r="AC451" s="46">
        <f t="shared" ref="AC451" si="658">+AA451/H451</f>
        <v>1.7722919814849483E-2</v>
      </c>
      <c r="AD451" s="33"/>
      <c r="AE451" s="33">
        <f t="shared" ref="AE451" si="659">+AA451/BW451</f>
        <v>1351.9886877828055</v>
      </c>
      <c r="AF451" s="50"/>
      <c r="AG451" s="33">
        <f t="shared" ref="AG451" si="660">SUM(W445:W451)</f>
        <v>2484</v>
      </c>
      <c r="AH451" s="33">
        <f t="shared" ref="AH451" si="661">SUM(D422:D894)</f>
        <v>1123033824.060914</v>
      </c>
      <c r="AI451" s="213">
        <f t="shared" ref="AI451" si="662">+(AG451-AG444)/AG444</f>
        <v>-0.30884808013355591</v>
      </c>
      <c r="AJ451" s="50"/>
      <c r="AK451" s="111"/>
      <c r="AL451" s="23">
        <f t="shared" ref="AL451" si="663">+AP451-AP450</f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ref="AR451" si="664">+AL451/AP450</f>
        <v>1.0497554465876257E-3</v>
      </c>
      <c r="AS451" s="25"/>
      <c r="AT451" s="25"/>
      <c r="AU451" s="24"/>
      <c r="AV451" s="298">
        <f t="shared" ref="AV451" si="665">+AP451/H451</f>
        <v>0.8320513719374395</v>
      </c>
      <c r="AW451" s="298"/>
      <c r="AX451" s="24">
        <f t="shared" ref="AX451" si="666">+AP451/BW451</f>
        <v>63472.839366515836</v>
      </c>
      <c r="AY451" s="308"/>
      <c r="AZ451" s="111"/>
      <c r="BA451" s="65">
        <f t="shared" ref="BA451" si="667">+BC451-BC450</f>
        <v>973509</v>
      </c>
      <c r="BB451" s="66"/>
      <c r="BC451" s="66">
        <v>483364333</v>
      </c>
      <c r="BD451" s="66"/>
      <c r="BE451" s="66">
        <f t="shared" ref="BE451" si="668">+D451</f>
        <v>16925</v>
      </c>
      <c r="BF451" s="66"/>
      <c r="BG451" s="144">
        <f t="shared" ref="BG451" si="669">+BE451/BA451</f>
        <v>1.7385560893633238E-2</v>
      </c>
      <c r="BH451" s="66"/>
      <c r="BI451" s="170"/>
      <c r="BJ451" s="66"/>
      <c r="BK451" s="66">
        <f t="shared" ref="BK451" si="670">SUM(BA445:BA451)</f>
        <v>5222916</v>
      </c>
      <c r="BL451" s="66"/>
      <c r="BM451" s="144">
        <f t="shared" ref="BM451" si="671">+Q451/BK451</f>
        <v>1.7297233958960857E-2</v>
      </c>
      <c r="BN451" s="65">
        <f t="shared" ref="BN451" si="672">+BC451/BW451</f>
        <v>1093584.463800905</v>
      </c>
      <c r="BO451" s="66"/>
      <c r="BP451" s="66">
        <f t="shared" ref="BP451" si="673">+BP450+BE451</f>
        <v>32810886</v>
      </c>
      <c r="BQ451" s="66"/>
      <c r="BR451" s="435">
        <f t="shared" ref="BR451" si="674">+BP451/BC451</f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424"/>
        <v>44352</v>
      </c>
      <c r="C452" s="61"/>
      <c r="D452" s="17">
        <v>11603</v>
      </c>
      <c r="E452" s="16"/>
      <c r="F452" s="16"/>
      <c r="G452" s="16"/>
      <c r="H452" s="16">
        <f t="shared" ref="H452" si="675">+H451+D452</f>
        <v>33729467</v>
      </c>
      <c r="I452" s="16"/>
      <c r="J452" s="436">
        <f t="shared" ref="J452" si="676">+D452/H451</f>
        <v>3.4412025625348035E-4</v>
      </c>
      <c r="K452" s="16"/>
      <c r="L452" s="16"/>
      <c r="M452" s="16"/>
      <c r="N452" s="16">
        <f t="shared" ref="N452" si="677">SUM(D446:D452)</f>
        <v>89284</v>
      </c>
      <c r="O452" s="16">
        <f t="shared" ref="O452" si="678">+H452/BW452</f>
        <v>76138.751693002254</v>
      </c>
      <c r="P452" s="41"/>
      <c r="Q452" s="17">
        <f t="shared" ref="Q452" si="679">SUM(D446:D452)</f>
        <v>89284</v>
      </c>
      <c r="R452" s="16"/>
      <c r="S452" s="60">
        <f t="shared" ref="S452" si="680">+(Q452-Q445)/Q445</f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ref="Z452" si="681">SUM(W447:W452)</f>
        <v>2398</v>
      </c>
      <c r="AA452" s="33">
        <f t="shared" ref="AA452" si="682">+AA451+W452</f>
        <v>597967</v>
      </c>
      <c r="AB452" s="33"/>
      <c r="AC452" s="46">
        <f t="shared" ref="AC452" si="683">+AA452/H452</f>
        <v>1.7728326391875684E-2</v>
      </c>
      <c r="AD452" s="33"/>
      <c r="AE452" s="33">
        <f t="shared" ref="AE452" si="684">+AA452/BW452</f>
        <v>1349.8126410835214</v>
      </c>
      <c r="AF452" s="50"/>
      <c r="AG452" s="33">
        <f t="shared" ref="AG452" si="685">SUM(W446:W452)</f>
        <v>2522</v>
      </c>
      <c r="AH452" s="33">
        <f t="shared" ref="AH452" si="686">SUM(D423:D895)</f>
        <v>1122986005.060914</v>
      </c>
      <c r="AI452" s="213">
        <f t="shared" ref="AI452" si="687">+(AG452-AG445)/AG445</f>
        <v>-0.27445339470655927</v>
      </c>
      <c r="AJ452" s="50"/>
      <c r="AK452" s="111"/>
      <c r="AL452" s="23">
        <f t="shared" ref="AL452" si="688">+AP452-AP451</f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ref="AR452" si="689">+AL452/AP451</f>
        <v>1.7286048348966023E-3</v>
      </c>
      <c r="AS452" s="25"/>
      <c r="AT452" s="25"/>
      <c r="AU452" s="24"/>
      <c r="AV452" s="298">
        <f t="shared" ref="AV452" si="690">+AP452/H452</f>
        <v>0.83320293795333322</v>
      </c>
      <c r="AW452" s="298"/>
      <c r="AX452" s="24">
        <f t="shared" ref="AX452" si="691">+AP452/BW452</f>
        <v>63439.031602708805</v>
      </c>
      <c r="AY452" s="308"/>
      <c r="AZ452" s="111"/>
      <c r="BA452" s="65">
        <f t="shared" ref="BA452" si="692">+BC452-BC451</f>
        <v>2921876</v>
      </c>
      <c r="BB452" s="66"/>
      <c r="BC452" s="66">
        <v>486286209</v>
      </c>
      <c r="BD452" s="66"/>
      <c r="BE452" s="66">
        <f t="shared" ref="BE452" si="693">+D452</f>
        <v>11603</v>
      </c>
      <c r="BF452" s="66"/>
      <c r="BG452" s="144">
        <f t="shared" ref="BG452" si="694">+BE452/BA452</f>
        <v>3.971078854817932E-3</v>
      </c>
      <c r="BH452" s="66"/>
      <c r="BI452" s="170"/>
      <c r="BJ452" s="66"/>
      <c r="BK452" s="66">
        <f t="shared" ref="BK452" si="695">SUM(BA446:BA452)</f>
        <v>7369073</v>
      </c>
      <c r="BL452" s="66"/>
      <c r="BM452" s="144">
        <f t="shared" ref="BM452" si="696">+Q452/BK452</f>
        <v>1.2116042275602373E-2</v>
      </c>
      <c r="BN452" s="65">
        <f t="shared" ref="BN452" si="697">+BC452/BW452</f>
        <v>1097711.5327313771</v>
      </c>
      <c r="BO452" s="66"/>
      <c r="BP452" s="66">
        <f t="shared" ref="BP452" si="698">+BP451+BE452</f>
        <v>32822489</v>
      </c>
      <c r="BQ452" s="66"/>
      <c r="BR452" s="435">
        <f t="shared" ref="BR452" si="699">+BP452/BC452</f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424"/>
        <v>44353</v>
      </c>
      <c r="C453" s="61"/>
      <c r="D453" s="17">
        <v>6408</v>
      </c>
      <c r="E453" s="16"/>
      <c r="F453" s="16"/>
      <c r="G453" s="16"/>
      <c r="H453" s="16">
        <f t="shared" ref="H453" si="700">+H452+D453</f>
        <v>33735875</v>
      </c>
      <c r="I453" s="16"/>
      <c r="J453" s="436">
        <f t="shared" ref="J453" si="701">+D453/H452</f>
        <v>1.8998224905243834E-4</v>
      </c>
      <c r="K453" s="16"/>
      <c r="L453" s="16"/>
      <c r="M453" s="16"/>
      <c r="N453" s="16">
        <f t="shared" ref="N453" si="702">SUM(D447:D453)</f>
        <v>87942</v>
      </c>
      <c r="O453" s="16">
        <f t="shared" ref="O453" si="703">+H453/BW453</f>
        <v>75981.700450450444</v>
      </c>
      <c r="P453" s="41"/>
      <c r="Q453" s="17">
        <f t="shared" ref="Q453" si="704">SUM(D447:D453)</f>
        <v>87942</v>
      </c>
      <c r="R453" s="16"/>
      <c r="S453" s="60">
        <f t="shared" ref="S453" si="705">+(Q453-Q446)/Q446</f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ref="Z453" si="706">SUM(W448:W453)</f>
        <v>2447</v>
      </c>
      <c r="AA453" s="33">
        <f t="shared" ref="AA453" si="707">+AA452+W453</f>
        <v>598131</v>
      </c>
      <c r="AB453" s="33"/>
      <c r="AC453" s="46">
        <f t="shared" ref="AC453" si="708">+AA453/H453</f>
        <v>1.7729820258108021E-2</v>
      </c>
      <c r="AD453" s="33"/>
      <c r="AE453" s="33">
        <f t="shared" ref="AE453" si="709">+AA453/BW453</f>
        <v>1347.1418918918919</v>
      </c>
      <c r="AF453" s="50"/>
      <c r="AG453" s="33">
        <f t="shared" ref="AG453" si="710">SUM(W447:W453)</f>
        <v>2562</v>
      </c>
      <c r="AH453" s="33">
        <f t="shared" ref="AH453" si="711">SUM(D424:D896)</f>
        <v>1122936514.060914</v>
      </c>
      <c r="AI453" s="213">
        <f t="shared" ref="AI453" si="712">+(AG453-AG446)/AG446</f>
        <v>-0.2402135231316726</v>
      </c>
      <c r="AJ453" s="50"/>
      <c r="AK453" s="111"/>
      <c r="AL453" s="23">
        <f t="shared" ref="AL453" si="713">+AP453-AP452</f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ref="AR453" si="714">+AL453/AP452</f>
        <v>6.8482595276152703E-4</v>
      </c>
      <c r="AS453" s="25"/>
      <c r="AT453" s="25"/>
      <c r="AU453" s="24"/>
      <c r="AV453" s="298">
        <f t="shared" ref="AV453" si="715">+AP453/H453</f>
        <v>0.83361516486529552</v>
      </c>
      <c r="AW453" s="298"/>
      <c r="AX453" s="24">
        <f t="shared" ref="AX453" si="716">+AP453/BW453</f>
        <v>63339.497747747744</v>
      </c>
      <c r="AY453" s="308"/>
      <c r="AZ453" s="111"/>
      <c r="BA453" s="65">
        <f t="shared" ref="BA453" si="717">+BC453-BC452</f>
        <v>582741</v>
      </c>
      <c r="BB453" s="66"/>
      <c r="BC453" s="66">
        <v>486868950</v>
      </c>
      <c r="BD453" s="66"/>
      <c r="BE453" s="66">
        <f t="shared" ref="BE453" si="718">+D453</f>
        <v>6408</v>
      </c>
      <c r="BF453" s="66"/>
      <c r="BG453" s="144">
        <f t="shared" ref="BG453" si="719">+BE453/BA453</f>
        <v>1.0996308823302291E-2</v>
      </c>
      <c r="BH453" s="66"/>
      <c r="BI453" s="170"/>
      <c r="BJ453" s="66"/>
      <c r="BK453" s="66">
        <f t="shared" ref="BK453" si="720">SUM(BA447:BA453)</f>
        <v>7378055</v>
      </c>
      <c r="BL453" s="66"/>
      <c r="BM453" s="144">
        <f t="shared" ref="BM453" si="721">+Q453/BK453</f>
        <v>1.1919401522487973E-2</v>
      </c>
      <c r="BN453" s="65">
        <f t="shared" ref="BN453" si="722">+BC453/BW453</f>
        <v>1096551.6891891891</v>
      </c>
      <c r="BO453" s="66"/>
      <c r="BP453" s="66">
        <f t="shared" ref="BP453" si="723">+BP452+BE453</f>
        <v>32828897</v>
      </c>
      <c r="BQ453" s="66"/>
      <c r="BR453" s="435">
        <f t="shared" ref="BR453" si="724">+BP453/BC453</f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424"/>
        <v>44354</v>
      </c>
      <c r="C454" s="61"/>
      <c r="D454" s="17">
        <v>12283</v>
      </c>
      <c r="E454" s="16"/>
      <c r="F454" s="16"/>
      <c r="G454" s="16"/>
      <c r="H454" s="16">
        <f t="shared" ref="H454" si="725">+H453+D454</f>
        <v>33748158</v>
      </c>
      <c r="I454" s="16"/>
      <c r="J454" s="436">
        <f t="shared" ref="J454" si="726">+D454/H453</f>
        <v>3.6409312045411599E-4</v>
      </c>
      <c r="K454" s="16"/>
      <c r="L454" s="16"/>
      <c r="M454" s="16"/>
      <c r="N454" s="16">
        <f t="shared" ref="N454" si="727">SUM(D448:D454)</f>
        <v>94990</v>
      </c>
      <c r="O454" s="16">
        <f t="shared" ref="O454" si="728">+H454/BW454</f>
        <v>75838.557303370791</v>
      </c>
      <c r="P454" s="41"/>
      <c r="Q454" s="17">
        <f t="shared" ref="Q454" si="729">SUM(D448:D454)</f>
        <v>94990</v>
      </c>
      <c r="R454" s="16"/>
      <c r="S454" s="60">
        <f t="shared" ref="S454" si="730">+(Q454-Q447)/Q447</f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ref="Z454" si="731">SUM(W449:W454)</f>
        <v>2472</v>
      </c>
      <c r="AA454" s="33">
        <f t="shared" ref="AA454" si="732">+AA453+W454</f>
        <v>598443</v>
      </c>
      <c r="AB454" s="33"/>
      <c r="AC454" s="46">
        <f t="shared" ref="AC454" si="733">+AA454/H454</f>
        <v>1.7732612251015301E-2</v>
      </c>
      <c r="AD454" s="33"/>
      <c r="AE454" s="33">
        <f t="shared" ref="AE454" si="734">+AA454/BW454</f>
        <v>1344.8157303370785</v>
      </c>
      <c r="AF454" s="50"/>
      <c r="AG454" s="33">
        <f t="shared" ref="AG454" si="735">SUM(W448:W454)</f>
        <v>2759</v>
      </c>
      <c r="AH454" s="33">
        <f t="shared" ref="AH454" si="736">SUM(D425:D897)</f>
        <v>1122900759.060914</v>
      </c>
      <c r="AI454" s="213">
        <f t="shared" ref="AI454" si="737">+(AG454-AG447)/AG447</f>
        <v>-0.11627162075592569</v>
      </c>
      <c r="AJ454" s="50"/>
      <c r="AK454" s="111"/>
      <c r="AL454" s="23">
        <f t="shared" ref="AL454" si="738">+AP454-AP453</f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ref="AR454" si="739">+AL454/AP453</f>
        <v>1.9529393600629982E-3</v>
      </c>
      <c r="AS454" s="25"/>
      <c r="AT454" s="25"/>
      <c r="AU454" s="24"/>
      <c r="AV454" s="298">
        <f t="shared" ref="AV454" si="740">+AP454/H454</f>
        <v>0.83493916912443045</v>
      </c>
      <c r="AW454" s="298"/>
      <c r="AX454" s="24">
        <f t="shared" ref="AX454" si="741">+AP454/BW454</f>
        <v>63320.582022471914</v>
      </c>
      <c r="AY454" s="308"/>
      <c r="AZ454" s="111"/>
      <c r="BA454" s="65">
        <f t="shared" ref="BA454" si="742">+BC454-BC453</f>
        <v>2864658</v>
      </c>
      <c r="BB454" s="66"/>
      <c r="BC454" s="66">
        <v>489733608</v>
      </c>
      <c r="BD454" s="66"/>
      <c r="BE454" s="66">
        <f t="shared" ref="BE454" si="743">+D454</f>
        <v>12283</v>
      </c>
      <c r="BF454" s="66"/>
      <c r="BG454" s="144">
        <f t="shared" ref="BG454" si="744">+BE454/BA454</f>
        <v>4.2877718736407623E-3</v>
      </c>
      <c r="BH454" s="66"/>
      <c r="BI454" s="170"/>
      <c r="BJ454" s="66"/>
      <c r="BK454" s="66">
        <f t="shared" ref="BK454" si="745">SUM(BA448:BA454)</f>
        <v>9803485</v>
      </c>
      <c r="BL454" s="66"/>
      <c r="BM454" s="144">
        <f t="shared" ref="BM454" si="746">+Q454/BK454</f>
        <v>9.6894114694927366E-3</v>
      </c>
      <c r="BN454" s="65">
        <f t="shared" ref="BN454" si="747">+BC454/BW454</f>
        <v>1100524.9617977529</v>
      </c>
      <c r="BO454" s="66"/>
      <c r="BP454" s="66">
        <f t="shared" ref="BP454" si="748">+BP453+BE454</f>
        <v>32841180</v>
      </c>
      <c r="BQ454" s="66"/>
      <c r="BR454" s="435">
        <f t="shared" ref="BR454" si="749">+BP454/BC454</f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424"/>
        <v>44355</v>
      </c>
      <c r="C455" s="61"/>
      <c r="D455" s="17">
        <v>13542</v>
      </c>
      <c r="E455" s="16"/>
      <c r="F455" s="16"/>
      <c r="G455" s="16"/>
      <c r="H455" s="16">
        <f t="shared" ref="H455" si="750">+H454+D455</f>
        <v>33761700</v>
      </c>
      <c r="I455" s="16"/>
      <c r="J455" s="436">
        <f t="shared" ref="J455" si="751">+D455/H454</f>
        <v>4.0126634466983353E-4</v>
      </c>
      <c r="K455" s="16"/>
      <c r="L455" s="16"/>
      <c r="M455" s="16"/>
      <c r="N455" s="16">
        <f t="shared" ref="N455" si="752">SUM(D449:D455)</f>
        <v>95556</v>
      </c>
      <c r="O455" s="16">
        <f t="shared" ref="O455" si="753">+H455/BW455</f>
        <v>75698.87892376681</v>
      </c>
      <c r="P455" s="41"/>
      <c r="Q455" s="17">
        <f t="shared" ref="Q455" si="754">SUM(D449:D455)</f>
        <v>95556</v>
      </c>
      <c r="R455" s="16"/>
      <c r="S455" s="60">
        <f t="shared" ref="S455" si="755">+(Q455-Q448)/Q448</f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ref="Z455" si="756">SUM(W450:W455)</f>
        <v>2359</v>
      </c>
      <c r="AA455" s="33">
        <f t="shared" ref="AA455" si="757">+AA454+W455</f>
        <v>598844</v>
      </c>
      <c r="AB455" s="33"/>
      <c r="AC455" s="46">
        <f t="shared" ref="AC455" si="758">+AA455/H455</f>
        <v>1.7737376968576819E-2</v>
      </c>
      <c r="AD455" s="33"/>
      <c r="AE455" s="33">
        <f t="shared" ref="AE455" si="759">+AA455/BW455</f>
        <v>1342.6995515695066</v>
      </c>
      <c r="AF455" s="50"/>
      <c r="AG455" s="33">
        <f t="shared" ref="AG455" si="760">SUM(W449:W455)</f>
        <v>2873</v>
      </c>
      <c r="AH455" s="33">
        <f t="shared" ref="AH455" si="761">SUM(D426:D898)</f>
        <v>1122878559.060914</v>
      </c>
      <c r="AI455" s="213">
        <f t="shared" ref="AI455" si="762">+(AG455-AG448)/AG448</f>
        <v>4.8540145985401462E-2</v>
      </c>
      <c r="AJ455" s="50"/>
      <c r="AK455" s="111"/>
      <c r="AL455" s="23">
        <f t="shared" ref="AL455" si="763">+AP455-AP454</f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ref="AR455" si="764">+AL455/AP454</f>
        <v>1.533271447425778E-3</v>
      </c>
      <c r="AS455" s="25"/>
      <c r="AT455" s="25"/>
      <c r="AU455" s="24"/>
      <c r="AV455" s="298">
        <f t="shared" ref="AV455" si="765">+AP455/H455</f>
        <v>0.83588394541744049</v>
      </c>
      <c r="AW455" s="298"/>
      <c r="AX455" s="24">
        <f t="shared" ref="AX455" si="766">+AP455/BW455</f>
        <v>63275.477578475336</v>
      </c>
      <c r="AY455" s="308"/>
      <c r="AZ455" s="111"/>
      <c r="BA455" s="65">
        <f t="shared" ref="BA455" si="767">+BC455-BC454</f>
        <v>589126</v>
      </c>
      <c r="BB455" s="66"/>
      <c r="BC455" s="66">
        <v>490322734</v>
      </c>
      <c r="BD455" s="66"/>
      <c r="BE455" s="66">
        <f t="shared" ref="BE455" si="768">+D455</f>
        <v>13542</v>
      </c>
      <c r="BF455" s="66"/>
      <c r="BG455" s="144">
        <f t="shared" ref="BG455" si="769">+BE455/BA455</f>
        <v>2.2986593699819733E-2</v>
      </c>
      <c r="BH455" s="66"/>
      <c r="BI455" s="170"/>
      <c r="BJ455" s="66"/>
      <c r="BK455" s="66">
        <f t="shared" ref="BK455" si="770">SUM(BA449:BA455)</f>
        <v>9373948</v>
      </c>
      <c r="BL455" s="66"/>
      <c r="BM455" s="144">
        <f t="shared" ref="BM455" si="771">+Q455/BK455</f>
        <v>1.0193783878468282E-2</v>
      </c>
      <c r="BN455" s="65">
        <f t="shared" ref="BN455" si="772">+BC455/BW455</f>
        <v>1099378.32735426</v>
      </c>
      <c r="BO455" s="66"/>
      <c r="BP455" s="66">
        <f t="shared" ref="BP455" si="773">+BP454+BE455</f>
        <v>32854722</v>
      </c>
      <c r="BQ455" s="66"/>
      <c r="BR455" s="435">
        <f t="shared" ref="BR455" si="774">+BP455/BC455</f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424"/>
        <v>44356</v>
      </c>
      <c r="C456" s="61"/>
      <c r="D456" s="17">
        <v>14201</v>
      </c>
      <c r="E456" s="16"/>
      <c r="F456" s="16"/>
      <c r="G456" s="16"/>
      <c r="H456" s="16">
        <f t="shared" ref="H456" si="775">+H455+D456</f>
        <v>33775901</v>
      </c>
      <c r="I456" s="16"/>
      <c r="J456" s="436">
        <f t="shared" ref="J456" si="776">+D456/H455</f>
        <v>4.2062455385836616E-4</v>
      </c>
      <c r="K456" s="16"/>
      <c r="L456" s="16"/>
      <c r="M456" s="16"/>
      <c r="N456" s="16">
        <f t="shared" ref="N456" si="777">SUM(D450:D456)</f>
        <v>92783</v>
      </c>
      <c r="O456" s="16">
        <f t="shared" ref="O456" si="778">+H456/BW456</f>
        <v>75561.299776286352</v>
      </c>
      <c r="P456" s="41"/>
      <c r="Q456" s="17">
        <f t="shared" ref="Q456" si="779">SUM(D450:D456)</f>
        <v>92783</v>
      </c>
      <c r="R456" s="16"/>
      <c r="S456" s="60">
        <f t="shared" ref="S456" si="780">+(Q456-Q449)/Q449</f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ref="Z456" si="781">SUM(W451:W456)</f>
        <v>2237</v>
      </c>
      <c r="AA456" s="33">
        <f t="shared" ref="AA456" si="782">+AA455+W456</f>
        <v>599296</v>
      </c>
      <c r="AB456" s="33"/>
      <c r="AC456" s="46">
        <f t="shared" ref="AC456" si="783">+AA456/H456</f>
        <v>1.7743301651671706E-2</v>
      </c>
      <c r="AD456" s="33"/>
      <c r="AE456" s="33">
        <f t="shared" ref="AE456" si="784">+AA456/BW456</f>
        <v>1340.7069351230425</v>
      </c>
      <c r="AF456" s="50"/>
      <c r="AG456" s="33">
        <f t="shared" ref="AG456" si="785">SUM(W450:W456)</f>
        <v>2811</v>
      </c>
      <c r="AH456" s="33">
        <f t="shared" ref="AH456" si="786">SUM(D427:D899)</f>
        <v>1122848407.060914</v>
      </c>
      <c r="AI456" s="213">
        <f t="shared" ref="AI456" si="787">+(AG456-AG449)/AG449</f>
        <v>6.1956932376275031E-2</v>
      </c>
      <c r="AJ456" s="50"/>
      <c r="AK456" s="111"/>
      <c r="AL456" s="23">
        <f t="shared" ref="AL456" si="788">+AP456-AP455</f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ref="AR456" si="789">+AL456/AP455</f>
        <v>1.1774267852829306E-3</v>
      </c>
      <c r="AS456" s="25"/>
      <c r="AT456" s="25"/>
      <c r="AU456" s="24"/>
      <c r="AV456" s="298">
        <f t="shared" ref="AV456" si="790">+AP456/H456</f>
        <v>0.83651627827781705</v>
      </c>
      <c r="AW456" s="298"/>
      <c r="AX456" s="24">
        <f t="shared" ref="AX456" si="791">+AP456/BW456</f>
        <v>63208.25727069351</v>
      </c>
      <c r="AY456" s="308"/>
      <c r="AZ456" s="111"/>
      <c r="BA456" s="65">
        <f t="shared" ref="BA456" si="792">+BC456-BC455</f>
        <v>758547</v>
      </c>
      <c r="BB456" s="66"/>
      <c r="BC456" s="66">
        <v>491081281</v>
      </c>
      <c r="BD456" s="66"/>
      <c r="BE456" s="66">
        <f t="shared" ref="BE456" si="793">+D456</f>
        <v>14201</v>
      </c>
      <c r="BF456" s="66"/>
      <c r="BG456" s="144">
        <f t="shared" ref="BG456" si="794">+BE456/BA456</f>
        <v>1.8721318520803588E-2</v>
      </c>
      <c r="BH456" s="66"/>
      <c r="BI456" s="170"/>
      <c r="BJ456" s="66"/>
      <c r="BK456" s="66">
        <f t="shared" ref="BK456" si="795">SUM(BA450:BA456)</f>
        <v>9473288</v>
      </c>
      <c r="BL456" s="66"/>
      <c r="BM456" s="144">
        <f t="shared" ref="BM456" si="796">+Q456/BK456</f>
        <v>9.7941707250956585E-3</v>
      </c>
      <c r="BN456" s="65">
        <f t="shared" ref="BN456" si="797">+BC456/BW456</f>
        <v>1098615.8411633109</v>
      </c>
      <c r="BO456" s="66"/>
      <c r="BP456" s="66">
        <f t="shared" ref="BP456" si="798">+BP455+BE456</f>
        <v>32868923</v>
      </c>
      <c r="BQ456" s="66"/>
      <c r="BR456" s="435">
        <f t="shared" ref="BR456" si="799">+BP456/BC456</f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424"/>
        <v>44357</v>
      </c>
      <c r="C457" s="61"/>
      <c r="D457" s="17">
        <v>16764</v>
      </c>
      <c r="E457" s="16"/>
      <c r="F457" s="16"/>
      <c r="G457" s="16"/>
      <c r="H457" s="16">
        <f t="shared" ref="H457" si="800">+H456+D457</f>
        <v>33792665</v>
      </c>
      <c r="I457" s="16"/>
      <c r="J457" s="436">
        <f t="shared" ref="J457" si="801">+D457/H456</f>
        <v>4.9633020892618084E-4</v>
      </c>
      <c r="K457" s="16"/>
      <c r="L457" s="16"/>
      <c r="M457" s="16"/>
      <c r="N457" s="16">
        <f t="shared" ref="N457" si="802">SUM(D451:D457)</f>
        <v>91726</v>
      </c>
      <c r="O457" s="16">
        <f t="shared" ref="O457" si="803">+H457/BW457</f>
        <v>75430.055803571435</v>
      </c>
      <c r="P457" s="41"/>
      <c r="Q457" s="17">
        <f t="shared" ref="Q457" si="804">SUM(D451:D457)</f>
        <v>91726</v>
      </c>
      <c r="R457" s="16"/>
      <c r="S457" s="60">
        <f t="shared" ref="S457" si="805">+(Q457-Q450)/Q450</f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ref="Z457" si="806">SUM(W452:W457)</f>
        <v>2198</v>
      </c>
      <c r="AA457" s="33">
        <f t="shared" ref="AA457" si="807">+AA456+W457</f>
        <v>599777</v>
      </c>
      <c r="AB457" s="33"/>
      <c r="AC457" s="46">
        <f t="shared" ref="AC457" si="808">+AA457/H457</f>
        <v>1.7748733341984124E-2</v>
      </c>
      <c r="AD457" s="33"/>
      <c r="AE457" s="33">
        <f t="shared" ref="AE457" si="809">+AA457/BW457</f>
        <v>1338.7879464285713</v>
      </c>
      <c r="AF457" s="50"/>
      <c r="AG457" s="33">
        <f t="shared" ref="AG457" si="810">SUM(W451:W457)</f>
        <v>2718</v>
      </c>
      <c r="AH457" s="33">
        <f t="shared" ref="AH457" si="811">SUM(D428:D900)</f>
        <v>1122813503.060914</v>
      </c>
      <c r="AI457" s="213">
        <f t="shared" ref="AI457" si="812">+(AG457-AG450)/AG450</f>
        <v>4.901582400617522E-2</v>
      </c>
      <c r="AJ457" s="50"/>
      <c r="AK457" s="111"/>
      <c r="AL457" s="23">
        <f t="shared" ref="AL457" si="813">+AP457-AP456</f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ref="AR457" si="814">+AL457/AP456</f>
        <v>1.6248620421021509E-3</v>
      </c>
      <c r="AS457" s="25"/>
      <c r="AT457" s="25"/>
      <c r="AU457" s="24"/>
      <c r="AV457" s="298">
        <f t="shared" ref="AV457" si="815">+AP457/H457</f>
        <v>0.83745984520605288</v>
      </c>
      <c r="AW457" s="298"/>
      <c r="AX457" s="24">
        <f t="shared" ref="AX457" si="816">+AP457/BW457</f>
        <v>63169.642857142855</v>
      </c>
      <c r="AY457" s="308"/>
      <c r="AZ457" s="111"/>
      <c r="BA457" s="65">
        <f t="shared" ref="BA457" si="817">+BC457-BC456</f>
        <v>918719</v>
      </c>
      <c r="BB457" s="66"/>
      <c r="BC457" s="66">
        <v>492000000</v>
      </c>
      <c r="BD457" s="66"/>
      <c r="BE457" s="66">
        <f t="shared" ref="BE457" si="818">+D457</f>
        <v>16764</v>
      </c>
      <c r="BF457" s="66"/>
      <c r="BG457" s="144">
        <f t="shared" ref="BG457" si="819">+BE457/BA457</f>
        <v>1.8247146298269654E-2</v>
      </c>
      <c r="BH457" s="66"/>
      <c r="BI457" s="170"/>
      <c r="BJ457" s="66"/>
      <c r="BK457" s="66">
        <f t="shared" ref="BK457" si="820">SUM(BA451:BA457)</f>
        <v>9609176</v>
      </c>
      <c r="BL457" s="66"/>
      <c r="BM457" s="144">
        <f t="shared" ref="BM457" si="821">+Q457/BK457</f>
        <v>9.5456675993862532E-3</v>
      </c>
      <c r="BN457" s="65">
        <f t="shared" ref="BN457" si="822">+BC457/BW457</f>
        <v>1098214.2857142857</v>
      </c>
      <c r="BO457" s="66"/>
      <c r="BP457" s="66">
        <f t="shared" ref="BP457" si="823">+BP456+BE457</f>
        <v>32885687</v>
      </c>
      <c r="BQ457" s="66"/>
      <c r="BR457" s="435">
        <f t="shared" ref="BR457" si="824">+BP457/BC457</f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424"/>
        <v>44358</v>
      </c>
      <c r="C458" s="61"/>
      <c r="D458" s="17">
        <v>16145</v>
      </c>
      <c r="E458" s="16"/>
      <c r="F458" s="16"/>
      <c r="G458" s="16"/>
      <c r="H458" s="16">
        <f t="shared" ref="H458" si="825">+H457+D458</f>
        <v>33808810</v>
      </c>
      <c r="I458" s="16"/>
      <c r="J458" s="436">
        <f t="shared" ref="J458" si="826">+D458/H457</f>
        <v>4.7776640285695138E-4</v>
      </c>
      <c r="K458" s="16"/>
      <c r="L458" s="16"/>
      <c r="M458" s="16"/>
      <c r="N458" s="16">
        <f t="shared" ref="N458" si="827">SUM(D452:D458)</f>
        <v>90946</v>
      </c>
      <c r="O458" s="16">
        <f t="shared" ref="O458" si="828">+H458/BW458</f>
        <v>75298.017817371932</v>
      </c>
      <c r="P458" s="41"/>
      <c r="Q458" s="17">
        <f t="shared" ref="Q458" si="829">SUM(D452:D458)</f>
        <v>90946</v>
      </c>
      <c r="R458" s="16"/>
      <c r="S458" s="60">
        <f t="shared" ref="S458" si="830">+(Q458-Q451)/Q451</f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ref="Z458" si="831">SUM(W453:W458)</f>
        <v>2231</v>
      </c>
      <c r="AA458" s="33">
        <f t="shared" ref="AA458" si="832">+AA457+W458</f>
        <v>600198</v>
      </c>
      <c r="AB458" s="33"/>
      <c r="AC458" s="46">
        <f t="shared" ref="AC458" si="833">+AA458/H458</f>
        <v>1.7752710018483348E-2</v>
      </c>
      <c r="AD458" s="33"/>
      <c r="AE458" s="33">
        <f t="shared" ref="AE458" si="834">+AA458/BW458</f>
        <v>1336.7438752783964</v>
      </c>
      <c r="AF458" s="50"/>
      <c r="AG458" s="33">
        <f t="shared" ref="AG458" si="835">SUM(W452:W458)</f>
        <v>2619</v>
      </c>
      <c r="AH458" s="33">
        <f t="shared" ref="AH458" si="836">SUM(D429:D901)</f>
        <v>1122777687.060914</v>
      </c>
      <c r="AI458" s="213">
        <f t="shared" ref="AI458" si="837">+(AG458-AG451)/AG451</f>
        <v>5.434782608695652E-2</v>
      </c>
      <c r="AJ458" s="50"/>
      <c r="AK458" s="111"/>
      <c r="AL458" s="23">
        <f t="shared" ref="AL458" si="838">+AP458-AP457</f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ref="AR458" si="839">+AL458/AP457</f>
        <v>1.6368904593639577E-3</v>
      </c>
      <c r="AS458" s="25"/>
      <c r="AT458" s="25"/>
      <c r="AU458" s="24"/>
      <c r="AV458" s="298">
        <f t="shared" ref="AV458" si="840">+AP458/H458</f>
        <v>0.83843010150312891</v>
      </c>
      <c r="AW458" s="298"/>
      <c r="AX458" s="24">
        <f t="shared" ref="AX458" si="841">+AP458/BW458</f>
        <v>63132.124721603563</v>
      </c>
      <c r="AY458" s="308"/>
      <c r="AZ458" s="111"/>
      <c r="BA458" s="65">
        <f t="shared" ref="BA458" si="842">+BC458-BC457</f>
        <v>1246114</v>
      </c>
      <c r="BB458" s="66"/>
      <c r="BC458" s="66">
        <v>493246114</v>
      </c>
      <c r="BD458" s="66"/>
      <c r="BE458" s="66">
        <f t="shared" ref="BE458" si="843">+D458</f>
        <v>16145</v>
      </c>
      <c r="BF458" s="66"/>
      <c r="BG458" s="144">
        <f t="shared" ref="BG458" si="844">+BE458/BA458</f>
        <v>1.2956278478534066E-2</v>
      </c>
      <c r="BH458" s="66"/>
      <c r="BI458" s="170"/>
      <c r="BJ458" s="66"/>
      <c r="BK458" s="66">
        <f t="shared" ref="BK458" si="845">SUM(BA452:BA458)</f>
        <v>9881781</v>
      </c>
      <c r="BL458" s="66"/>
      <c r="BM458" s="144">
        <f t="shared" ref="BM458" si="846">+Q458/BK458</f>
        <v>9.2034016944921165E-3</v>
      </c>
      <c r="BN458" s="65">
        <f t="shared" ref="BN458" si="847">+BC458/BW458</f>
        <v>1098543.6837416482</v>
      </c>
      <c r="BO458" s="66"/>
      <c r="BP458" s="66">
        <f t="shared" ref="BP458" si="848">+BP457+BE458</f>
        <v>32901832</v>
      </c>
      <c r="BQ458" s="66"/>
      <c r="BR458" s="435">
        <f t="shared" ref="BR458" si="849">+BP458/BC458</f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424"/>
        <v>44359</v>
      </c>
      <c r="C459" s="61"/>
      <c r="D459" s="17">
        <v>9427</v>
      </c>
      <c r="E459" s="16"/>
      <c r="F459" s="16"/>
      <c r="G459" s="16"/>
      <c r="H459" s="16">
        <f t="shared" ref="H459" si="850">+H458+D459</f>
        <v>33818237</v>
      </c>
      <c r="I459" s="16"/>
      <c r="J459" s="436">
        <f t="shared" ref="J459" si="851">+D459/H458</f>
        <v>2.7883264746674018E-4</v>
      </c>
      <c r="K459" s="16"/>
      <c r="L459" s="16"/>
      <c r="M459" s="16"/>
      <c r="N459" s="16">
        <f t="shared" ref="N459" si="852">SUM(D453:D459)</f>
        <v>88770</v>
      </c>
      <c r="O459" s="16">
        <f t="shared" ref="O459" si="853">+H459/BW459</f>
        <v>75151.637777777782</v>
      </c>
      <c r="P459" s="41"/>
      <c r="Q459" s="17">
        <f t="shared" ref="Q459" si="854">SUM(D453:D459)</f>
        <v>88770</v>
      </c>
      <c r="R459" s="16"/>
      <c r="S459" s="60">
        <f t="shared" ref="S459" si="855">+(Q459-Q452)/Q452</f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ref="Z459" si="856">SUM(W454:W459)</f>
        <v>2375</v>
      </c>
      <c r="AA459" s="33">
        <f t="shared" ref="AA459" si="857">+AA458+W459</f>
        <v>600506</v>
      </c>
      <c r="AB459" s="33"/>
      <c r="AC459" s="46">
        <f t="shared" ref="AC459" si="858">+AA459/H459</f>
        <v>1.7756868875216648E-2</v>
      </c>
      <c r="AD459" s="33"/>
      <c r="AE459" s="33">
        <f t="shared" ref="AE459" si="859">+AA459/BW459</f>
        <v>1334.4577777777777</v>
      </c>
      <c r="AF459" s="50"/>
      <c r="AG459" s="33">
        <f t="shared" ref="AG459" si="860">SUM(W453:W459)</f>
        <v>2539</v>
      </c>
      <c r="AH459" s="33">
        <f t="shared" ref="AH459" si="861">SUM(D430:D902)</f>
        <v>1122737862.060914</v>
      </c>
      <c r="AI459" s="213">
        <f t="shared" ref="AI459" si="862">+(AG459-AG452)/AG452</f>
        <v>6.7406819984139575E-3</v>
      </c>
      <c r="AJ459" s="50"/>
      <c r="AK459" s="111"/>
      <c r="AL459" s="23">
        <f t="shared" ref="AL459" si="863">+AP459-AP458</f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ref="AR459" si="864">+AL459/AP458</f>
        <v>1.2452761070535989E-3</v>
      </c>
      <c r="AS459" s="25"/>
      <c r="AT459" s="25"/>
      <c r="AU459" s="24"/>
      <c r="AV459" s="298">
        <f t="shared" ref="AV459" si="865">+AP459/H459</f>
        <v>0.83924017091724801</v>
      </c>
      <c r="AW459" s="298"/>
      <c r="AX459" s="24">
        <f t="shared" ref="AX459" si="866">+AP459/BW459</f>
        <v>63070.273333333331</v>
      </c>
      <c r="AY459" s="308"/>
      <c r="AZ459" s="111"/>
      <c r="BA459" s="65">
        <f t="shared" ref="BA459" si="867">+BC459-BC458</f>
        <v>648739</v>
      </c>
      <c r="BB459" s="66"/>
      <c r="BC459" s="66">
        <v>493894853</v>
      </c>
      <c r="BD459" s="66"/>
      <c r="BE459" s="66">
        <f t="shared" ref="BE459" si="868">+D459</f>
        <v>9427</v>
      </c>
      <c r="BF459" s="66"/>
      <c r="BG459" s="144">
        <f t="shared" ref="BG459" si="869">+BE459/BA459</f>
        <v>1.4531267582186364E-2</v>
      </c>
      <c r="BH459" s="66"/>
      <c r="BI459" s="170"/>
      <c r="BJ459" s="66"/>
      <c r="BK459" s="66">
        <f t="shared" ref="BK459" si="870">SUM(BA453:BA459)</f>
        <v>7608644</v>
      </c>
      <c r="BL459" s="66"/>
      <c r="BM459" s="144">
        <f t="shared" ref="BM459" si="871">+Q459/BK459</f>
        <v>1.1666993487932936E-2</v>
      </c>
      <c r="BN459" s="65">
        <f t="shared" ref="BN459" si="872">+BC459/BW459</f>
        <v>1097544.1177777778</v>
      </c>
      <c r="BO459" s="66"/>
      <c r="BP459" s="66">
        <f t="shared" ref="BP459" si="873">+BP458+BE459</f>
        <v>32911259</v>
      </c>
      <c r="BQ459" s="66"/>
      <c r="BR459" s="435">
        <f t="shared" ref="BR459" si="874">+BP459/BC459</f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424"/>
        <v>44360</v>
      </c>
      <c r="C460" s="61"/>
      <c r="D460" s="17">
        <v>5285</v>
      </c>
      <c r="E460" s="16"/>
      <c r="F460" s="16"/>
      <c r="G460" s="16"/>
      <c r="H460" s="16">
        <f t="shared" ref="H460" si="875">+H459+D460</f>
        <v>33823522</v>
      </c>
      <c r="I460" s="16"/>
      <c r="J460" s="436">
        <f t="shared" ref="J460" si="876">+D460/H459</f>
        <v>1.5627662672066555E-4</v>
      </c>
      <c r="K460" s="16"/>
      <c r="L460" s="16"/>
      <c r="M460" s="16"/>
      <c r="N460" s="16">
        <f t="shared" ref="N460" si="877">SUM(D454:D460)</f>
        <v>87647</v>
      </c>
      <c r="O460" s="16">
        <f t="shared" ref="O460" si="878">+H460/BW460</f>
        <v>74996.722838137473</v>
      </c>
      <c r="P460" s="41"/>
      <c r="Q460" s="17">
        <f t="shared" ref="Q460" si="879">SUM(D454:D460)</f>
        <v>87647</v>
      </c>
      <c r="R460" s="16"/>
      <c r="S460" s="60">
        <f t="shared" ref="S460" si="880">+(Q460-Q453)/Q453</f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ref="Z460" si="881">SUM(W455:W460)</f>
        <v>2163</v>
      </c>
      <c r="AA460" s="33">
        <f t="shared" ref="AA460" si="882">+AA459+W460</f>
        <v>600606</v>
      </c>
      <c r="AB460" s="33"/>
      <c r="AC460" s="46">
        <f t="shared" ref="AC460" si="883">+AA460/H460</f>
        <v>1.7757050847632013E-2</v>
      </c>
      <c r="AD460" s="33"/>
      <c r="AE460" s="33">
        <f t="shared" ref="AE460" si="884">+AA460/BW460</f>
        <v>1331.7206208425721</v>
      </c>
      <c r="AF460" s="50"/>
      <c r="AG460" s="33">
        <f t="shared" ref="AG460" si="885">SUM(W454:W460)</f>
        <v>2475</v>
      </c>
      <c r="AH460" s="33">
        <f t="shared" ref="AH460" si="886">SUM(D431:D903)</f>
        <v>1122698767.060914</v>
      </c>
      <c r="AI460" s="213">
        <f t="shared" ref="AI460" si="887">+(AG460-AG453)/AG453</f>
        <v>-3.3957845433255272E-2</v>
      </c>
      <c r="AJ460" s="50"/>
      <c r="AK460" s="111"/>
      <c r="AL460" s="23">
        <f t="shared" ref="AL460" si="888">+AP460-AP459</f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ref="AR460" si="889">+AL460/AP459</f>
        <v>6.5214734196138114E-4</v>
      </c>
      <c r="AS460" s="25"/>
      <c r="AT460" s="25"/>
      <c r="AU460" s="24"/>
      <c r="AV460" s="298">
        <f t="shared" ref="AV460" si="890">+AP460/H460</f>
        <v>0.83965626051598052</v>
      </c>
      <c r="AW460" s="298"/>
      <c r="AX460" s="24">
        <f t="shared" ref="AX460" si="891">+AP460/BW460</f>
        <v>62971.467849223947</v>
      </c>
      <c r="AY460" s="308"/>
      <c r="AZ460" s="111"/>
      <c r="BA460" s="65">
        <f t="shared" ref="BA460" si="892">+BC460-BC459</f>
        <v>454808</v>
      </c>
      <c r="BB460" s="66"/>
      <c r="BC460" s="66">
        <v>494349661</v>
      </c>
      <c r="BD460" s="66"/>
      <c r="BE460" s="66">
        <f t="shared" ref="BE460" si="893">+D460</f>
        <v>5285</v>
      </c>
      <c r="BF460" s="66"/>
      <c r="BG460" s="144">
        <f t="shared" ref="BG460" si="894">+BE460/BA460</f>
        <v>1.1620288121580976E-2</v>
      </c>
      <c r="BH460" s="66"/>
      <c r="BI460" s="170"/>
      <c r="BJ460" s="66"/>
      <c r="BK460" s="66">
        <f t="shared" ref="BK460" si="895">SUM(BA454:BA460)</f>
        <v>7480711</v>
      </c>
      <c r="BL460" s="66"/>
      <c r="BM460" s="144">
        <f t="shared" ref="BM460" si="896">+Q460/BK460</f>
        <v>1.1716399684468495E-2</v>
      </c>
      <c r="BN460" s="65">
        <f t="shared" ref="BN460" si="897">+BC460/BW460</f>
        <v>1096118.9822616407</v>
      </c>
      <c r="BO460" s="66"/>
      <c r="BP460" s="66">
        <f t="shared" ref="BP460" si="898">+BP459+BE460</f>
        <v>32916544</v>
      </c>
      <c r="BQ460" s="66"/>
      <c r="BR460" s="435">
        <f t="shared" ref="BR460" si="899">+BP460/BC460</f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424"/>
        <v>44361</v>
      </c>
      <c r="C461" s="61"/>
      <c r="D461" s="17">
        <v>11521</v>
      </c>
      <c r="E461" s="16"/>
      <c r="F461" s="16"/>
      <c r="G461" s="16"/>
      <c r="H461" s="16">
        <f t="shared" ref="H461" si="900">+H460+D461</f>
        <v>33835043</v>
      </c>
      <c r="I461" s="16"/>
      <c r="J461" s="436">
        <f t="shared" ref="J461" si="901">+D461/H460</f>
        <v>3.4062094420563298E-4</v>
      </c>
      <c r="K461" s="16"/>
      <c r="L461" s="16"/>
      <c r="M461" s="16"/>
      <c r="N461" s="16">
        <f t="shared" ref="N461" si="902">SUM(D455:D461)</f>
        <v>86885</v>
      </c>
      <c r="O461" s="16">
        <f t="shared" ref="O461" si="903">+H461/BW461</f>
        <v>74856.289823008847</v>
      </c>
      <c r="P461" s="41"/>
      <c r="Q461" s="17">
        <f t="shared" ref="Q461" si="904">SUM(D455:D461)</f>
        <v>86885</v>
      </c>
      <c r="R461" s="16"/>
      <c r="S461" s="60">
        <f t="shared" ref="S461" si="905">+(Q461-Q454)/Q454</f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ref="Z461" si="906">SUM(W456:W461)</f>
        <v>2014</v>
      </c>
      <c r="AA461" s="33">
        <f t="shared" ref="AA461" si="907">+AA460+W461</f>
        <v>600858</v>
      </c>
      <c r="AB461" s="33"/>
      <c r="AC461" s="46">
        <f t="shared" ref="AC461" si="908">+AA461/H461</f>
        <v>1.7758452383228832E-2</v>
      </c>
      <c r="AD461" s="33"/>
      <c r="AE461" s="33">
        <f t="shared" ref="AE461" si="909">+AA461/BW461</f>
        <v>1329.3318584070796</v>
      </c>
      <c r="AF461" s="50"/>
      <c r="AG461" s="33">
        <f t="shared" ref="AG461" si="910">SUM(W455:W461)</f>
        <v>2415</v>
      </c>
      <c r="AH461" s="33">
        <f t="shared" ref="AH461" si="911">SUM(D432:D904)</f>
        <v>1122673125.060914</v>
      </c>
      <c r="AI461" s="213">
        <f t="shared" ref="AI461" si="912">+(AG461-AG454)/AG454</f>
        <v>-0.12468285610728524</v>
      </c>
      <c r="AJ461" s="50"/>
      <c r="AK461" s="111"/>
      <c r="AL461" s="23">
        <f t="shared" ref="AL461" si="913">+AP461-AP460</f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ref="AR461" si="914">+AL461/AP460</f>
        <v>5.1461732642651093E-3</v>
      </c>
      <c r="AS461" s="25"/>
      <c r="AT461" s="25"/>
      <c r="AU461" s="24"/>
      <c r="AV461" s="298">
        <f t="shared" ref="AV461" si="915">+AP461/H461</f>
        <v>0.84368989866512067</v>
      </c>
      <c r="AW461" s="298"/>
      <c r="AX461" s="24">
        <f t="shared" ref="AX461" si="916">+AP461/BW461</f>
        <v>63155.495575221241</v>
      </c>
      <c r="AY461" s="308"/>
      <c r="AZ461" s="111"/>
      <c r="BA461" s="65">
        <f t="shared" ref="BA461" si="917">+BC461-BC460</f>
        <v>1054127</v>
      </c>
      <c r="BB461" s="66"/>
      <c r="BC461" s="66">
        <v>495403788</v>
      </c>
      <c r="BD461" s="66"/>
      <c r="BE461" s="66">
        <f t="shared" ref="BE461" si="918">+D461</f>
        <v>11521</v>
      </c>
      <c r="BF461" s="66"/>
      <c r="BG461" s="144">
        <f t="shared" ref="BG461" si="919">+BE461/BA461</f>
        <v>1.0929423115051603E-2</v>
      </c>
      <c r="BH461" s="66"/>
      <c r="BI461" s="170"/>
      <c r="BJ461" s="66"/>
      <c r="BK461" s="66">
        <f t="shared" ref="BK461" si="920">SUM(BA455:BA461)</f>
        <v>5670180</v>
      </c>
      <c r="BL461" s="66"/>
      <c r="BM461" s="144">
        <f t="shared" ref="BM461" si="921">+Q461/BK461</f>
        <v>1.5323146707864653E-2</v>
      </c>
      <c r="BN461" s="65">
        <f t="shared" ref="BN461" si="922">+BC461/BW461</f>
        <v>1096026.0796460176</v>
      </c>
      <c r="BO461" s="66"/>
      <c r="BP461" s="66">
        <f t="shared" ref="BP461" si="923">+BP460+BE461</f>
        <v>32928065</v>
      </c>
      <c r="BQ461" s="66"/>
      <c r="BR461" s="435">
        <f t="shared" ref="BR461" si="924">+BP461/BC461</f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424"/>
        <v>44362</v>
      </c>
      <c r="C462" s="61"/>
      <c r="D462" s="17">
        <v>12580</v>
      </c>
      <c r="E462" s="16"/>
      <c r="F462" s="16"/>
      <c r="G462" s="16"/>
      <c r="H462" s="16">
        <f t="shared" ref="H462" si="925">+H461+D462</f>
        <v>33847623</v>
      </c>
      <c r="I462" s="16"/>
      <c r="J462" s="436">
        <f t="shared" ref="J462" si="926">+D462/H461</f>
        <v>3.7180387209793112E-4</v>
      </c>
      <c r="K462" s="16"/>
      <c r="L462" s="16"/>
      <c r="M462" s="16"/>
      <c r="N462" s="16">
        <f t="shared" ref="N462" si="927">SUM(D456:D462)</f>
        <v>85923</v>
      </c>
      <c r="O462" s="16">
        <f t="shared" ref="O462" si="928">+H462/BW462</f>
        <v>74718.814569536422</v>
      </c>
      <c r="P462" s="41"/>
      <c r="Q462" s="17">
        <f t="shared" ref="Q462" si="929">SUM(D456:D462)</f>
        <v>85923</v>
      </c>
      <c r="R462" s="16"/>
      <c r="S462" s="60">
        <f t="shared" ref="S462" si="930">+(Q462-Q455)/Q455</f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ref="Z462" si="931">SUM(W457:W462)</f>
        <v>1915</v>
      </c>
      <c r="AA462" s="33">
        <f t="shared" ref="AA462" si="932">+AA461+W462</f>
        <v>601211</v>
      </c>
      <c r="AB462" s="33"/>
      <c r="AC462" s="46">
        <f t="shared" ref="AC462" si="933">+AA462/H462</f>
        <v>1.7762281268613751E-2</v>
      </c>
      <c r="AD462" s="33"/>
      <c r="AE462" s="33">
        <f t="shared" ref="AE462" si="934">+AA462/BW462</f>
        <v>1327.176600441501</v>
      </c>
      <c r="AF462" s="50"/>
      <c r="AG462" s="33">
        <f t="shared" ref="AG462" si="935">SUM(W456:W462)</f>
        <v>2367</v>
      </c>
      <c r="AH462" s="33">
        <f t="shared" ref="AH462" si="936">SUM(D433:D905)</f>
        <v>1122655291.060914</v>
      </c>
      <c r="AI462" s="213">
        <f t="shared" ref="AI462" si="937">+(AG462-AG455)/AG455</f>
        <v>-0.17612252001392273</v>
      </c>
      <c r="AJ462" s="50"/>
      <c r="AK462" s="111"/>
      <c r="AL462" s="23">
        <f t="shared" ref="AL462" si="938">+AP462-AP461</f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ref="AR462" si="939">+AL462/AP461</f>
        <v>1.1355943911999194E-3</v>
      </c>
      <c r="AS462" s="25"/>
      <c r="AT462" s="25"/>
      <c r="AU462" s="24"/>
      <c r="AV462" s="298">
        <f t="shared" ref="AV462" si="940">+AP462/H462</f>
        <v>0.84433406150854373</v>
      </c>
      <c r="AW462" s="298"/>
      <c r="AX462" s="24">
        <f t="shared" ref="AX462" si="941">+AP462/BW462</f>
        <v>63087.640176600442</v>
      </c>
      <c r="AY462" s="308"/>
      <c r="AZ462" s="111"/>
      <c r="BA462" s="65">
        <f t="shared" ref="BA462" si="942">+BC462-BC461</f>
        <v>613617</v>
      </c>
      <c r="BB462" s="66"/>
      <c r="BC462" s="66">
        <v>496017405</v>
      </c>
      <c r="BD462" s="66"/>
      <c r="BE462" s="66">
        <f t="shared" ref="BE462" si="943">+D462</f>
        <v>12580</v>
      </c>
      <c r="BF462" s="66"/>
      <c r="BG462" s="144">
        <f t="shared" ref="BG462" si="944">+BE462/BA462</f>
        <v>2.0501387673418435E-2</v>
      </c>
      <c r="BH462" s="66"/>
      <c r="BI462" s="170"/>
      <c r="BJ462" s="66"/>
      <c r="BK462" s="66">
        <f t="shared" ref="BK462" si="945">SUM(BA456:BA462)</f>
        <v>5694671</v>
      </c>
      <c r="BL462" s="66"/>
      <c r="BM462" s="144">
        <f t="shared" ref="BM462" si="946">+Q462/BK462</f>
        <v>1.5088316778967565E-2</v>
      </c>
      <c r="BN462" s="65">
        <f t="shared" ref="BN462" si="947">+BC462/BW462</f>
        <v>1094961.1589403974</v>
      </c>
      <c r="BO462" s="66"/>
      <c r="BP462" s="66">
        <f t="shared" ref="BP462" si="948">+BP461+BE462</f>
        <v>32940645</v>
      </c>
      <c r="BQ462" s="66"/>
      <c r="BR462" s="435">
        <f t="shared" ref="BR462" si="949">+BP462/BC462</f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424"/>
        <v>44363</v>
      </c>
      <c r="C463" s="61"/>
      <c r="D463" s="17">
        <v>14063</v>
      </c>
      <c r="E463" s="16"/>
      <c r="F463" s="16"/>
      <c r="G463" s="16"/>
      <c r="H463" s="16">
        <f t="shared" ref="H463" si="950">+H462+D463</f>
        <v>33861686</v>
      </c>
      <c r="I463" s="16"/>
      <c r="J463" s="436">
        <f t="shared" ref="J463" si="951">+D463/H462</f>
        <v>4.1547969262125143E-4</v>
      </c>
      <c r="K463" s="16"/>
      <c r="L463" s="16"/>
      <c r="M463" s="16"/>
      <c r="N463" s="16">
        <f t="shared" ref="N463" si="952">SUM(D457:D463)</f>
        <v>85785</v>
      </c>
      <c r="O463" s="16">
        <f t="shared" ref="O463" si="953">+H463/BW463</f>
        <v>74585.211453744487</v>
      </c>
      <c r="P463" s="41"/>
      <c r="Q463" s="17">
        <f t="shared" ref="Q463" si="954">SUM(D457:D463)</f>
        <v>85785</v>
      </c>
      <c r="R463" s="16"/>
      <c r="S463" s="60">
        <f t="shared" ref="S463" si="955">+(Q463-Q456)/Q456</f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ref="Z463" si="956">SUM(W458:W463)</f>
        <v>1868</v>
      </c>
      <c r="AA463" s="33">
        <f t="shared" ref="AA463" si="957">+AA462+W463</f>
        <v>601645</v>
      </c>
      <c r="AB463" s="33"/>
      <c r="AC463" s="46">
        <f t="shared" ref="AC463" si="958">+AA463/H463</f>
        <v>1.7767721311927588E-2</v>
      </c>
      <c r="AD463" s="33"/>
      <c r="AE463" s="33">
        <f t="shared" ref="AE463" si="959">+AA463/BW463</f>
        <v>1325.2092511013216</v>
      </c>
      <c r="AF463" s="50"/>
      <c r="AG463" s="33">
        <f t="shared" ref="AG463" si="960">SUM(W457:W463)</f>
        <v>2349</v>
      </c>
      <c r="AH463" s="33">
        <f t="shared" ref="AH463" si="961">SUM(D434:D906)</f>
        <v>1122630261.060914</v>
      </c>
      <c r="AI463" s="213">
        <f t="shared" ref="AI463" si="962">+(AG463-AG456)/AG456</f>
        <v>-0.16435432230522945</v>
      </c>
      <c r="AJ463" s="50"/>
      <c r="AK463" s="111"/>
      <c r="AL463" s="23">
        <f t="shared" ref="AL463" si="963">+AP463-AP462</f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ref="AR463" si="964">+AL463/AP462</f>
        <v>1.3224533893265477E-3</v>
      </c>
      <c r="AS463" s="25"/>
      <c r="AT463" s="25"/>
      <c r="AU463" s="24"/>
      <c r="AV463" s="298">
        <f t="shared" ref="AV463" si="965">+AP463/H463</f>
        <v>0.84509953225601353</v>
      </c>
      <c r="AW463" s="298"/>
      <c r="AX463" s="24">
        <f t="shared" ref="AX463" si="966">+AP463/BW463</f>
        <v>63031.927312775333</v>
      </c>
      <c r="AY463" s="308"/>
      <c r="AZ463" s="111"/>
      <c r="BA463" s="65">
        <f t="shared" ref="BA463" si="967">+BC463-BC462</f>
        <v>607828</v>
      </c>
      <c r="BB463" s="66"/>
      <c r="BC463" s="66">
        <v>496625233</v>
      </c>
      <c r="BD463" s="66"/>
      <c r="BE463" s="66">
        <f t="shared" ref="BE463" si="968">+D463</f>
        <v>14063</v>
      </c>
      <c r="BF463" s="66"/>
      <c r="BG463" s="144">
        <f t="shared" ref="BG463" si="969">+BE463/BA463</f>
        <v>2.3136479398777287E-2</v>
      </c>
      <c r="BH463" s="66"/>
      <c r="BI463" s="170"/>
      <c r="BJ463" s="66"/>
      <c r="BK463" s="66">
        <f t="shared" ref="BK463" si="970">SUM(BA457:BA463)</f>
        <v>5543952</v>
      </c>
      <c r="BL463" s="66"/>
      <c r="BM463" s="144">
        <f t="shared" ref="BM463" si="971">+Q463/BK463</f>
        <v>1.5473618819210557E-2</v>
      </c>
      <c r="BN463" s="65">
        <f t="shared" ref="BN463" si="972">+BC463/BW463</f>
        <v>1093888.1784140968</v>
      </c>
      <c r="BO463" s="66"/>
      <c r="BP463" s="66">
        <f t="shared" ref="BP463" si="973">+BP462+BE463</f>
        <v>32954708</v>
      </c>
      <c r="BQ463" s="66"/>
      <c r="BR463" s="435">
        <f t="shared" ref="BR463" si="974">+BP463/BC463</f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424"/>
        <v>44364</v>
      </c>
      <c r="C464" s="61"/>
      <c r="D464" s="17">
        <v>13733</v>
      </c>
      <c r="E464" s="16"/>
      <c r="F464" s="16"/>
      <c r="G464" s="16"/>
      <c r="H464" s="16">
        <f t="shared" ref="H464" si="975">+H463+D464</f>
        <v>33875419</v>
      </c>
      <c r="I464" s="16"/>
      <c r="J464" s="436">
        <f t="shared" ref="J464" si="976">+D464/H463</f>
        <v>4.0556161320496562E-4</v>
      </c>
      <c r="K464" s="16"/>
      <c r="L464" s="16"/>
      <c r="M464" s="16"/>
      <c r="N464" s="16">
        <f t="shared" ref="N464" si="977">SUM(D458:D464)</f>
        <v>82754</v>
      </c>
      <c r="O464" s="16">
        <f t="shared" ref="O464" si="978">+H464/BW464</f>
        <v>74451.470329670323</v>
      </c>
      <c r="P464" s="41"/>
      <c r="Q464" s="17">
        <f t="shared" ref="Q464" si="979">SUM(D458:D464)</f>
        <v>82754</v>
      </c>
      <c r="R464" s="16"/>
      <c r="S464" s="60">
        <f t="shared" ref="S464" si="980">+(Q464-Q457)/Q457</f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ref="Z464" si="981">SUM(W459:W464)</f>
        <v>1822</v>
      </c>
      <c r="AA464" s="33">
        <f t="shared" ref="AA464" si="982">+AA463+W464</f>
        <v>602020</v>
      </c>
      <c r="AB464" s="33"/>
      <c r="AC464" s="46">
        <f t="shared" ref="AC464" si="983">+AA464/H464</f>
        <v>1.7771588301239906E-2</v>
      </c>
      <c r="AD464" s="33"/>
      <c r="AE464" s="33">
        <f t="shared" ref="AE464" si="984">+AA464/BW464</f>
        <v>1323.1208791208792</v>
      </c>
      <c r="AF464" s="50"/>
      <c r="AG464" s="33">
        <f t="shared" ref="AG464" si="985">SUM(W458:W464)</f>
        <v>2243</v>
      </c>
      <c r="AH464" s="33">
        <f t="shared" ref="AH464" si="986">SUM(D435:D907)</f>
        <v>1122602755.060914</v>
      </c>
      <c r="AI464" s="213">
        <f t="shared" ref="AI464" si="987">+(AG464-AG457)/AG457</f>
        <v>-0.17476085356880058</v>
      </c>
      <c r="AJ464" s="50"/>
      <c r="AK464" s="111"/>
      <c r="AL464" s="23">
        <f t="shared" ref="AL464" si="988">+AP464-AP463</f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ref="AR464" si="989">+AL464/AP463</f>
        <v>1.0241645596359723E-3</v>
      </c>
      <c r="AS464" s="25"/>
      <c r="AT464" s="25"/>
      <c r="AU464" s="24"/>
      <c r="AV464" s="298">
        <f t="shared" ref="AV464" si="990">+AP464/H464</f>
        <v>0.84562210138271643</v>
      </c>
      <c r="AW464" s="298"/>
      <c r="AX464" s="24">
        <f t="shared" ref="AX464" si="991">+AP464/BW464</f>
        <v>62957.808791208794</v>
      </c>
      <c r="AY464" s="308"/>
      <c r="AZ464" s="111"/>
      <c r="BA464" s="65">
        <f t="shared" ref="BA464" si="992">+BC464-BC463</f>
        <v>784478</v>
      </c>
      <c r="BB464" s="66"/>
      <c r="BC464" s="66">
        <v>497409711</v>
      </c>
      <c r="BD464" s="66"/>
      <c r="BE464" s="66">
        <f t="shared" ref="BE464" si="993">+D464</f>
        <v>13733</v>
      </c>
      <c r="BF464" s="66"/>
      <c r="BG464" s="144">
        <f t="shared" ref="BG464" si="994">+BE464/BA464</f>
        <v>1.750590838748824E-2</v>
      </c>
      <c r="BH464" s="66"/>
      <c r="BI464" s="170"/>
      <c r="BJ464" s="66"/>
      <c r="BK464" s="66">
        <f t="shared" ref="BK464" si="995">SUM(BA458:BA464)</f>
        <v>5409711</v>
      </c>
      <c r="BL464" s="66"/>
      <c r="BM464" s="144">
        <f t="shared" ref="BM464" si="996">+Q464/BK464</f>
        <v>1.5297305161033557E-2</v>
      </c>
      <c r="BN464" s="65">
        <f t="shared" ref="BN464" si="997">+BC464/BW464</f>
        <v>1093208.1560439561</v>
      </c>
      <c r="BO464" s="66"/>
      <c r="BP464" s="66">
        <f t="shared" ref="BP464" si="998">+BP463+BE464</f>
        <v>32968441</v>
      </c>
      <c r="BQ464" s="66"/>
      <c r="BR464" s="435">
        <f t="shared" ref="BR464" si="999">+BP464/BC464</f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424"/>
        <v>44365</v>
      </c>
      <c r="C465" s="61"/>
      <c r="D465" s="17">
        <v>13389</v>
      </c>
      <c r="E465" s="16"/>
      <c r="F465" s="16"/>
      <c r="G465" s="16"/>
      <c r="H465" s="16">
        <f t="shared" ref="H465" si="1000">+H464+D465</f>
        <v>33888808</v>
      </c>
      <c r="I465" s="16"/>
      <c r="J465" s="436">
        <f t="shared" ref="J465" si="1001">+D465/H464</f>
        <v>3.952423437183168E-4</v>
      </c>
      <c r="K465" s="16"/>
      <c r="L465" s="16"/>
      <c r="M465" s="16"/>
      <c r="N465" s="16">
        <f t="shared" ref="N465" si="1002">SUM(D459:D465)</f>
        <v>79998</v>
      </c>
      <c r="O465" s="16">
        <f t="shared" ref="O465" si="1003">+H465/BW465</f>
        <v>74317.561403508778</v>
      </c>
      <c r="P465" s="41"/>
      <c r="Q465" s="17">
        <f t="shared" ref="Q465" si="1004">SUM(D459:D465)</f>
        <v>79998</v>
      </c>
      <c r="R465" s="16"/>
      <c r="S465" s="60">
        <f t="shared" ref="S465" si="1005">+(Q465-Q458)/Q458</f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ref="Z465" si="1006">SUM(W460:W465)</f>
        <v>1907</v>
      </c>
      <c r="AA465" s="33">
        <f t="shared" ref="AA465" si="1007">+AA464+W465</f>
        <v>602413</v>
      </c>
      <c r="AB465" s="33"/>
      <c r="AC465" s="46">
        <f t="shared" ref="AC465" si="1008">+AA465/H465</f>
        <v>1.7776163741138374E-2</v>
      </c>
      <c r="AD465" s="33"/>
      <c r="AE465" s="33">
        <f t="shared" ref="AE465" si="1009">+AA465/BW465</f>
        <v>1321.0811403508771</v>
      </c>
      <c r="AF465" s="50"/>
      <c r="AG465" s="33">
        <f t="shared" ref="AG465" si="1010">SUM(W459:W465)</f>
        <v>2215</v>
      </c>
      <c r="AH465" s="33">
        <f t="shared" ref="AH465" si="1011">SUM(D436:D908)</f>
        <v>1122574214.060914</v>
      </c>
      <c r="AI465" s="213">
        <f t="shared" ref="AI465" si="1012">+(AG465-AG458)/AG458</f>
        <v>-0.15425735013363878</v>
      </c>
      <c r="AJ465" s="50"/>
      <c r="AK465" s="111"/>
      <c r="AL465" s="23">
        <f t="shared" ref="AL465" si="1013">+AP465-AP464</f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ref="AR465" si="1014">+AL465/AP464</f>
        <v>1.0516723863527233E-3</v>
      </c>
      <c r="AS465" s="25"/>
      <c r="AT465" s="25"/>
      <c r="AU465" s="24"/>
      <c r="AV465" s="298">
        <f t="shared" ref="AV465" si="1015">+AP465/H465</f>
        <v>0.8461769738256949</v>
      </c>
      <c r="AW465" s="298"/>
      <c r="AX465" s="24">
        <f t="shared" ref="AX465" si="1016">+AP465/BW465</f>
        <v>62885.809210526313</v>
      </c>
      <c r="AY465" s="308"/>
      <c r="AZ465" s="111"/>
      <c r="BA465" s="65">
        <f t="shared" ref="BA465" si="1017">+BC465-BC464</f>
        <v>820364</v>
      </c>
      <c r="BB465" s="66"/>
      <c r="BC465" s="66">
        <v>498230075</v>
      </c>
      <c r="BD465" s="66"/>
      <c r="BE465" s="66">
        <f t="shared" ref="BE465" si="1018">+D465</f>
        <v>13389</v>
      </c>
      <c r="BF465" s="66"/>
      <c r="BG465" s="144">
        <f t="shared" ref="BG465" si="1019">+BE465/BA465</f>
        <v>1.6320803935813859E-2</v>
      </c>
      <c r="BH465" s="66"/>
      <c r="BI465" s="170"/>
      <c r="BJ465" s="66"/>
      <c r="BK465" s="66">
        <f t="shared" ref="BK465" si="1020">SUM(BA459:BA465)</f>
        <v>4983961</v>
      </c>
      <c r="BL465" s="66"/>
      <c r="BM465" s="144">
        <f t="shared" ref="BM465" si="1021">+Q465/BK465</f>
        <v>1.6051088682275002E-2</v>
      </c>
      <c r="BN465" s="65">
        <f t="shared" ref="BN465" si="1022">+BC465/BW465</f>
        <v>1092609.8135964912</v>
      </c>
      <c r="BO465" s="66"/>
      <c r="BP465" s="66">
        <f t="shared" ref="BP465" si="1023">+BP464+BE465</f>
        <v>32981830</v>
      </c>
      <c r="BQ465" s="66"/>
      <c r="BR465" s="435">
        <f t="shared" ref="BR465" si="1024">+BP465/BC465</f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424"/>
        <v>44366</v>
      </c>
      <c r="C466" s="61"/>
      <c r="D466" s="17">
        <v>7782</v>
      </c>
      <c r="E466" s="16"/>
      <c r="F466" s="16"/>
      <c r="G466" s="16"/>
      <c r="H466" s="16">
        <f t="shared" ref="H466" si="1025">+H465+D466</f>
        <v>33896590</v>
      </c>
      <c r="I466" s="16"/>
      <c r="J466" s="436">
        <f t="shared" ref="J466" si="1026">+D466/H465</f>
        <v>2.2963333499366516E-4</v>
      </c>
      <c r="K466" s="16"/>
      <c r="L466" s="16"/>
      <c r="M466" s="16"/>
      <c r="N466" s="16">
        <f t="shared" ref="N466" si="1027">SUM(D460:D466)</f>
        <v>78353</v>
      </c>
      <c r="O466" s="16">
        <f t="shared" ref="O466" si="1028">+H466/BW466</f>
        <v>74171.969365426703</v>
      </c>
      <c r="P466" s="41"/>
      <c r="Q466" s="17">
        <f t="shared" ref="Q466" si="1029">SUM(D460:D466)</f>
        <v>78353</v>
      </c>
      <c r="R466" s="16"/>
      <c r="S466" s="60">
        <f t="shared" ref="S466" si="1030">+(Q466-Q459)/Q459</f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ref="Z466" si="1031">SUM(W461:W466)</f>
        <v>1977</v>
      </c>
      <c r="AA466" s="33">
        <f t="shared" ref="AA466" si="1032">+AA465+W466</f>
        <v>602583</v>
      </c>
      <c r="AB466" s="33"/>
      <c r="AC466" s="46">
        <f t="shared" ref="AC466" si="1033">+AA466/H466</f>
        <v>1.7777097932269881E-2</v>
      </c>
      <c r="AD466" s="33"/>
      <c r="AE466" s="33">
        <f t="shared" ref="AE466" si="1034">+AA466/BW466</f>
        <v>1318.562363238512</v>
      </c>
      <c r="AF466" s="50"/>
      <c r="AG466" s="33">
        <f t="shared" ref="AG466" si="1035">SUM(W460:W466)</f>
        <v>2077</v>
      </c>
      <c r="AH466" s="33">
        <f t="shared" ref="AH466" si="1036">SUM(D437:D909)</f>
        <v>1122544000.060914</v>
      </c>
      <c r="AI466" s="213">
        <f t="shared" ref="AI466" si="1037">+(AG466-AG459)/AG459</f>
        <v>-0.18196140212682158</v>
      </c>
      <c r="AJ466" s="50"/>
      <c r="AK466" s="111"/>
      <c r="AL466" s="23">
        <f t="shared" ref="AL466" si="1038">+AP466-AP465</f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ref="AR466" si="1039">+AL466/AP465</f>
        <v>6.5957758508887368E-4</v>
      </c>
      <c r="AS466" s="25"/>
      <c r="AT466" s="25"/>
      <c r="AU466" s="24"/>
      <c r="AV466" s="298">
        <f t="shared" ref="AV466" si="1040">+AP466/H466</f>
        <v>0.84654069922667741</v>
      </c>
      <c r="AW466" s="298"/>
      <c r="AX466" s="24">
        <f t="shared" ref="AX466" si="1041">+AP466/BW466</f>
        <v>62789.590809628011</v>
      </c>
      <c r="AY466" s="308"/>
      <c r="AZ466" s="111"/>
      <c r="BA466" s="65">
        <f t="shared" ref="BA466" si="1042">+BC466-BC465</f>
        <v>459136</v>
      </c>
      <c r="BB466" s="66"/>
      <c r="BC466" s="66">
        <v>498689211</v>
      </c>
      <c r="BD466" s="66"/>
      <c r="BE466" s="66">
        <f t="shared" ref="BE466" si="1043">+D466</f>
        <v>7782</v>
      </c>
      <c r="BF466" s="66"/>
      <c r="BG466" s="144">
        <f t="shared" ref="BG466" si="1044">+BE466/BA466</f>
        <v>1.6949226373013659E-2</v>
      </c>
      <c r="BH466" s="66"/>
      <c r="BI466" s="170"/>
      <c r="BJ466" s="66"/>
      <c r="BK466" s="66">
        <f t="shared" ref="BK466" si="1045">SUM(BA460:BA466)</f>
        <v>4794358</v>
      </c>
      <c r="BL466" s="66"/>
      <c r="BM466" s="144">
        <f t="shared" ref="BM466" si="1046">+Q466/BK466</f>
        <v>1.6342751208816696E-2</v>
      </c>
      <c r="BN466" s="65">
        <f t="shared" ref="BN466" si="1047">+BC466/BW466</f>
        <v>1091223.6564551422</v>
      </c>
      <c r="BO466" s="66"/>
      <c r="BP466" s="66">
        <f t="shared" ref="BP466" si="1048">+BP465+BE466</f>
        <v>32989612</v>
      </c>
      <c r="BQ466" s="66"/>
      <c r="BR466" s="435">
        <f t="shared" ref="BR466" si="1049">+BP466/BC466</f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424"/>
        <v>44367</v>
      </c>
      <c r="C467" s="61"/>
      <c r="D467" s="17">
        <v>4422</v>
      </c>
      <c r="E467" s="16"/>
      <c r="F467" s="16"/>
      <c r="G467" s="16"/>
      <c r="H467" s="16">
        <f t="shared" ref="H467" si="1050">+H466+D467</f>
        <v>33901012</v>
      </c>
      <c r="I467" s="16"/>
      <c r="J467" s="436">
        <f t="shared" ref="J467" si="1051">+D467/H466</f>
        <v>1.3045560040110229E-4</v>
      </c>
      <c r="K467" s="16"/>
      <c r="L467" s="16"/>
      <c r="M467" s="16"/>
      <c r="N467" s="16">
        <f t="shared" ref="N467" si="1052">SUM(D461:D467)</f>
        <v>77490</v>
      </c>
      <c r="O467" s="16">
        <f t="shared" ref="O467" si="1053">+H467/BW467</f>
        <v>74019.676855895203</v>
      </c>
      <c r="P467" s="41"/>
      <c r="Q467" s="17">
        <f t="shared" ref="Q467" si="1054">SUM(D461:D467)</f>
        <v>77490</v>
      </c>
      <c r="R467" s="16"/>
      <c r="S467" s="60">
        <f t="shared" ref="S467" si="1055">+(Q467-Q460)/Q460</f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ref="Z467" si="1056">SUM(W462:W467)</f>
        <v>1811</v>
      </c>
      <c r="AA467" s="33">
        <f t="shared" ref="AA467" si="1057">+AA466+W467</f>
        <v>602669</v>
      </c>
      <c r="AB467" s="33"/>
      <c r="AC467" s="46">
        <f t="shared" ref="AC467" si="1058">+AA467/H467</f>
        <v>1.7777315910215304E-2</v>
      </c>
      <c r="AD467" s="33"/>
      <c r="AE467" s="33">
        <f t="shared" ref="AE467" si="1059">+AA467/BW467</f>
        <v>1315.8711790393013</v>
      </c>
      <c r="AF467" s="50"/>
      <c r="AG467" s="33">
        <f t="shared" ref="AG467" si="1060">SUM(W461:W467)</f>
        <v>2063</v>
      </c>
      <c r="AH467" s="33">
        <f t="shared" ref="AH467" si="1061">SUM(D438:D910)</f>
        <v>1122514986.060914</v>
      </c>
      <c r="AI467" s="213">
        <f t="shared" ref="AI467" si="1062">+(AG467-AG460)/AG460</f>
        <v>-0.16646464646464645</v>
      </c>
      <c r="AJ467" s="50"/>
      <c r="AK467" s="111"/>
      <c r="AL467" s="23">
        <f t="shared" ref="AL467" si="1063">+AP467-AP466</f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ref="AR467" si="1064">+AL467/AP466</f>
        <v>5.7404042949459597E-4</v>
      </c>
      <c r="AS467" s="25"/>
      <c r="AT467" s="25"/>
      <c r="AU467" s="24"/>
      <c r="AV467" s="298">
        <f t="shared" ref="AV467" si="1065">+AP467/H467</f>
        <v>0.84691616285673121</v>
      </c>
      <c r="AW467" s="298"/>
      <c r="AX467" s="24">
        <f t="shared" ref="AX467" si="1066">+AP467/BW467</f>
        <v>62688.46069868996</v>
      </c>
      <c r="AY467" s="308"/>
      <c r="AZ467" s="111"/>
      <c r="BA467" s="65">
        <f t="shared" ref="BA467" si="1067">+BC467-BC466</f>
        <v>372514</v>
      </c>
      <c r="BB467" s="66"/>
      <c r="BC467" s="66">
        <v>499061725</v>
      </c>
      <c r="BD467" s="66"/>
      <c r="BE467" s="66">
        <f t="shared" ref="BE467" si="1068">+D467</f>
        <v>4422</v>
      </c>
      <c r="BF467" s="66"/>
      <c r="BG467" s="144">
        <f t="shared" ref="BG467" si="1069">+BE467/BA467</f>
        <v>1.1870694792678932E-2</v>
      </c>
      <c r="BH467" s="66"/>
      <c r="BI467" s="170"/>
      <c r="BJ467" s="66"/>
      <c r="BK467" s="66">
        <f t="shared" ref="BK467" si="1070">SUM(BA461:BA467)</f>
        <v>4712064</v>
      </c>
      <c r="BL467" s="66"/>
      <c r="BM467" s="144">
        <f t="shared" ref="BM467" si="1071">+Q467/BK467</f>
        <v>1.6445022818026241E-2</v>
      </c>
      <c r="BN467" s="65">
        <f t="shared" ref="BN467" si="1072">+BC467/BW467</f>
        <v>1089654.4213973798</v>
      </c>
      <c r="BO467" s="66"/>
      <c r="BP467" s="66">
        <f t="shared" ref="BP467" si="1073">+BP466+BE467</f>
        <v>32994034</v>
      </c>
      <c r="BQ467" s="66"/>
      <c r="BR467" s="435">
        <f t="shared" ref="BR467" si="1074">+BP467/BC467</f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424"/>
        <v>44368</v>
      </c>
      <c r="C468" s="61"/>
      <c r="D468" s="17">
        <v>9755</v>
      </c>
      <c r="E468" s="16"/>
      <c r="F468" s="16"/>
      <c r="G468" s="16"/>
      <c r="H468" s="16">
        <f t="shared" ref="H468" si="1075">+H467+D468</f>
        <v>33910767</v>
      </c>
      <c r="I468" s="16"/>
      <c r="J468" s="436">
        <f t="shared" ref="J468" si="1076">+D468/H467</f>
        <v>2.8774952204966626E-4</v>
      </c>
      <c r="K468" s="16"/>
      <c r="L468" s="16"/>
      <c r="M468" s="16"/>
      <c r="N468" s="16">
        <f t="shared" ref="N468" si="1077">SUM(D462:D468)</f>
        <v>75724</v>
      </c>
      <c r="O468" s="16">
        <f t="shared" ref="O468" si="1078">+H468/BW468</f>
        <v>73879.666666666672</v>
      </c>
      <c r="P468" s="41"/>
      <c r="Q468" s="17">
        <f t="shared" ref="Q468" si="1079">SUM(D462:D468)</f>
        <v>75724</v>
      </c>
      <c r="R468" s="16"/>
      <c r="S468" s="60">
        <f t="shared" ref="S468" si="1080">+(Q468-Q461)/Q461</f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ref="Z468" si="1081">SUM(W463:W468)</f>
        <v>1695</v>
      </c>
      <c r="AA468" s="33">
        <f t="shared" ref="AA468" si="1082">+AA467+W468</f>
        <v>602906</v>
      </c>
      <c r="AB468" s="33"/>
      <c r="AC468" s="46">
        <f t="shared" ref="AC468" si="1083">+AA468/H468</f>
        <v>1.7779190898277234E-2</v>
      </c>
      <c r="AD468" s="33"/>
      <c r="AE468" s="33">
        <f t="shared" ref="AE468" si="1084">+AA468/BW468</f>
        <v>1313.520697167756</v>
      </c>
      <c r="AF468" s="50"/>
      <c r="AG468" s="33">
        <f t="shared" ref="AG468" si="1085">SUM(W462:W468)</f>
        <v>2048</v>
      </c>
      <c r="AH468" s="33">
        <f t="shared" ref="AH468" si="1086">SUM(D439:D911)</f>
        <v>1122495347.060914</v>
      </c>
      <c r="AI468" s="213">
        <f t="shared" ref="AI468" si="1087">+(AG468-AG461)/AG461</f>
        <v>-0.15196687370600415</v>
      </c>
      <c r="AJ468" s="50"/>
      <c r="AK468" s="111"/>
      <c r="AL468" s="23">
        <f t="shared" ref="AL468" si="1088">+AP468-AP467</f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ref="AR468" si="1089">+AL468/AP467</f>
        <v>2.8150922380253221E-3</v>
      </c>
      <c r="AS468" s="25"/>
      <c r="AT468" s="25"/>
      <c r="AU468" s="24"/>
      <c r="AV468" s="298">
        <f t="shared" ref="AV468" si="1090">+AP468/H468</f>
        <v>0.84905599451643188</v>
      </c>
      <c r="AW468" s="298"/>
      <c r="AX468" s="24">
        <f t="shared" ref="AX468" si="1091">+AP468/BW468</f>
        <v>62727.973856209152</v>
      </c>
      <c r="AY468" s="308"/>
      <c r="AZ468" s="111"/>
      <c r="BA468" s="65">
        <f t="shared" ref="BA468" si="1092">+BC468-BC467</f>
        <v>1247281</v>
      </c>
      <c r="BB468" s="66"/>
      <c r="BC468" s="66">
        <v>500309006</v>
      </c>
      <c r="BD468" s="66"/>
      <c r="BE468" s="66">
        <f t="shared" ref="BE468" si="1093">+D468</f>
        <v>9755</v>
      </c>
      <c r="BF468" s="66"/>
      <c r="BG468" s="144">
        <f t="shared" ref="BG468" si="1094">+BE468/BA468</f>
        <v>7.8210122658807432E-3</v>
      </c>
      <c r="BH468" s="66"/>
      <c r="BI468" s="170"/>
      <c r="BJ468" s="66"/>
      <c r="BK468" s="66">
        <f t="shared" ref="BK468" si="1095">SUM(BA462:BA468)</f>
        <v>4905218</v>
      </c>
      <c r="BL468" s="66"/>
      <c r="BM468" s="144">
        <f t="shared" ref="BM468" si="1096">+Q468/BK468</f>
        <v>1.5437438254528138E-2</v>
      </c>
      <c r="BN468" s="65">
        <f t="shared" ref="BN468" si="1097">+BC468/BW468</f>
        <v>1089997.834422658</v>
      </c>
      <c r="BO468" s="66"/>
      <c r="BP468" s="66">
        <f t="shared" ref="BP468" si="1098">+BP467+BE468</f>
        <v>33003789</v>
      </c>
      <c r="BQ468" s="66"/>
      <c r="BR468" s="435">
        <f t="shared" ref="BR468" si="1099">+BP468/BC468</f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424"/>
        <v>44369</v>
      </c>
      <c r="C469" s="61"/>
      <c r="D469" s="17">
        <v>12874</v>
      </c>
      <c r="E469" s="16"/>
      <c r="F469" s="16"/>
      <c r="G469" s="16"/>
      <c r="H469" s="16">
        <f t="shared" ref="H469" si="1100">+H468+D469</f>
        <v>33923641</v>
      </c>
      <c r="I469" s="16"/>
      <c r="J469" s="436">
        <f t="shared" ref="J469" si="1101">+D469/H468</f>
        <v>3.7964343301347326E-4</v>
      </c>
      <c r="K469" s="16"/>
      <c r="L469" s="16"/>
      <c r="M469" s="16"/>
      <c r="N469" s="16">
        <f t="shared" ref="N469" si="1102">SUM(D463:D469)</f>
        <v>76018</v>
      </c>
      <c r="O469" s="16">
        <f t="shared" ref="O469" si="1103">+H469/BW469</f>
        <v>73747.045652173911</v>
      </c>
      <c r="P469" s="41"/>
      <c r="Q469" s="17">
        <f t="shared" ref="Q469" si="1104">SUM(D463:D469)</f>
        <v>76018</v>
      </c>
      <c r="R469" s="16"/>
      <c r="S469" s="60">
        <f t="shared" ref="S469" si="1105">+(Q469-Q462)/Q462</f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ref="Z469" si="1106">SUM(W464:W469)</f>
        <v>1692</v>
      </c>
      <c r="AA469" s="33">
        <f t="shared" ref="AA469" si="1107">+AA468+W469</f>
        <v>603337</v>
      </c>
      <c r="AB469" s="33"/>
      <c r="AC469" s="46">
        <f t="shared" ref="AC469" si="1108">+AA469/H469</f>
        <v>1.7785148710894566E-2</v>
      </c>
      <c r="AD469" s="33"/>
      <c r="AE469" s="33">
        <f t="shared" ref="AE469" si="1109">+AA469/BW469</f>
        <v>1311.6021739130435</v>
      </c>
      <c r="AF469" s="50"/>
      <c r="AG469" s="33">
        <f t="shared" ref="AG469" si="1110">SUM(W463:W469)</f>
        <v>2126</v>
      </c>
      <c r="AH469" s="33">
        <f t="shared" ref="AH469" si="1111">SUM(D440:D912)</f>
        <v>1122481806.060914</v>
      </c>
      <c r="AI469" s="213">
        <f t="shared" ref="AI469" si="1112">+(AG469-AG462)/AG462</f>
        <v>-0.10181664554288128</v>
      </c>
      <c r="AJ469" s="50"/>
      <c r="AK469" s="111"/>
      <c r="AL469" s="23">
        <f t="shared" ref="AL469" si="1113">+AP469-AP468</f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ref="AR469" si="1114">+AL469/AP468</f>
        <v>1.0292739615742352E-3</v>
      </c>
      <c r="AS469" s="25"/>
      <c r="AT469" s="25"/>
      <c r="AU469" s="24"/>
      <c r="AV469" s="298">
        <f t="shared" ref="AV469" si="1115">+AP469/H469</f>
        <v>0.84960735788944353</v>
      </c>
      <c r="AW469" s="298"/>
      <c r="AX469" s="24">
        <f t="shared" ref="AX469" si="1116">+AP469/BW469</f>
        <v>62656.032608695656</v>
      </c>
      <c r="AY469" s="308"/>
      <c r="AZ469" s="111"/>
      <c r="BA469" s="65">
        <f t="shared" ref="BA469" si="1117">+BC469-BC468</f>
        <v>481846</v>
      </c>
      <c r="BB469" s="66"/>
      <c r="BC469" s="66">
        <v>500790852</v>
      </c>
      <c r="BD469" s="66"/>
      <c r="BE469" s="66">
        <f t="shared" ref="BE469" si="1118">+D469</f>
        <v>12874</v>
      </c>
      <c r="BF469" s="66"/>
      <c r="BG469" s="144">
        <f t="shared" ref="BG469" si="1119">+BE469/BA469</f>
        <v>2.6718080050472558E-2</v>
      </c>
      <c r="BH469" s="66"/>
      <c r="BI469" s="170"/>
      <c r="BJ469" s="66"/>
      <c r="BK469" s="66">
        <f t="shared" ref="BK469" si="1120">SUM(BA463:BA469)</f>
        <v>4773447</v>
      </c>
      <c r="BL469" s="66"/>
      <c r="BM469" s="144">
        <f t="shared" ref="BM469" si="1121">+Q469/BK469</f>
        <v>1.5925179435322106E-2</v>
      </c>
      <c r="BN469" s="65">
        <f t="shared" ref="BN469" si="1122">+BC469/BW469</f>
        <v>1088675.7652173913</v>
      </c>
      <c r="BO469" s="66"/>
      <c r="BP469" s="66">
        <f t="shared" ref="BP469" si="1123">+BP468+BE469</f>
        <v>33016663</v>
      </c>
      <c r="BQ469" s="66"/>
      <c r="BR469" s="435">
        <f t="shared" ref="BR469" si="1124">+BP469/BC469</f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424"/>
        <v>44370</v>
      </c>
      <c r="C470" s="61"/>
      <c r="D470" s="17">
        <v>13365</v>
      </c>
      <c r="E470" s="16"/>
      <c r="F470" s="16"/>
      <c r="G470" s="16"/>
      <c r="H470" s="16">
        <f t="shared" ref="H470" si="1125">+H469+D470</f>
        <v>33937006</v>
      </c>
      <c r="I470" s="16"/>
      <c r="J470" s="436">
        <f t="shared" ref="J470" si="1126">+D470/H469</f>
        <v>3.9397304080655729E-4</v>
      </c>
      <c r="K470" s="16"/>
      <c r="L470" s="16"/>
      <c r="M470" s="16"/>
      <c r="N470" s="16">
        <f t="shared" ref="N470" si="1127">SUM(D464:D470)</f>
        <v>75320</v>
      </c>
      <c r="O470" s="16">
        <f t="shared" ref="O470" si="1128">+H470/BW470</f>
        <v>73616.065075921913</v>
      </c>
      <c r="P470" s="41"/>
      <c r="Q470" s="17">
        <f t="shared" ref="Q470" si="1129">SUM(D464:D470)</f>
        <v>75320</v>
      </c>
      <c r="R470" s="16"/>
      <c r="S470" s="60">
        <f t="shared" ref="S470" si="1130">+(Q470-Q463)/Q463</f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ref="Z470" si="1131">SUM(W465:W470)</f>
        <v>1646</v>
      </c>
      <c r="AA470" s="33">
        <f t="shared" ref="AA470" si="1132">+AA469+W470</f>
        <v>603666</v>
      </c>
      <c r="AB470" s="33"/>
      <c r="AC470" s="46">
        <f t="shared" ref="AC470" si="1133">+AA470/H470</f>
        <v>1.7787839033295984E-2</v>
      </c>
      <c r="AD470" s="33"/>
      <c r="AE470" s="33">
        <f t="shared" ref="AE470" si="1134">+AA470/BW470</f>
        <v>1309.4707158351409</v>
      </c>
      <c r="AF470" s="50"/>
      <c r="AG470" s="33">
        <f t="shared" ref="AG470" si="1135">SUM(W464:W470)</f>
        <v>2021</v>
      </c>
      <c r="AH470" s="33">
        <f t="shared" ref="AH470" si="1136">SUM(D441:D913)</f>
        <v>1122461440.060914</v>
      </c>
      <c r="AI470" s="213">
        <f t="shared" ref="AI470" si="1137">+(AG470-AG463)/AG463</f>
        <v>-0.13963388676032354</v>
      </c>
      <c r="AJ470" s="50"/>
      <c r="AK470" s="111"/>
      <c r="AL470" s="23">
        <f t="shared" ref="AL470" si="1138">+AP470-AP469</f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ref="AR470" si="1139">+AL470/AP469</f>
        <v>1.0216927999750188E-3</v>
      </c>
      <c r="AS470" s="25"/>
      <c r="AT470" s="25"/>
      <c r="AU470" s="24"/>
      <c r="AV470" s="298">
        <f t="shared" ref="AV470" si="1140">+AP470/H470</f>
        <v>0.85014046318641068</v>
      </c>
      <c r="AW470" s="298"/>
      <c r="AX470" s="24">
        <f t="shared" ref="AX470" si="1141">+AP470/BW470</f>
        <v>62583.995661605208</v>
      </c>
      <c r="AY470" s="308"/>
      <c r="AZ470" s="111"/>
      <c r="BA470" s="65">
        <f t="shared" ref="BA470" si="1142">+BC470-BC469</f>
        <v>889271</v>
      </c>
      <c r="BB470" s="66"/>
      <c r="BC470" s="66">
        <f>502180123-500000</f>
        <v>501680123</v>
      </c>
      <c r="BD470" s="66"/>
      <c r="BE470" s="66">
        <f t="shared" ref="BE470" si="1143">+D470</f>
        <v>13365</v>
      </c>
      <c r="BF470" s="66"/>
      <c r="BG470" s="144">
        <f t="shared" ref="BG470" si="1144">+BE470/BA470</f>
        <v>1.5029164337980211E-2</v>
      </c>
      <c r="BH470" s="66"/>
      <c r="BI470" s="170"/>
      <c r="BJ470" s="66"/>
      <c r="BK470" s="66">
        <f t="shared" ref="BK470" si="1145">SUM(BA464:BA470)</f>
        <v>5054890</v>
      </c>
      <c r="BL470" s="66"/>
      <c r="BM470" s="144">
        <f t="shared" ref="BM470" si="1146">+Q470/BK470</f>
        <v>1.4900423154608705E-2</v>
      </c>
      <c r="BN470" s="65">
        <f t="shared" ref="BN470" si="1147">+BC470/BW470</f>
        <v>1088243.2169197397</v>
      </c>
      <c r="BO470" s="66"/>
      <c r="BP470" s="66">
        <f t="shared" ref="BP470" si="1148">+BP469+BE470</f>
        <v>33030028</v>
      </c>
      <c r="BQ470" s="66"/>
      <c r="BR470" s="435">
        <f t="shared" ref="BR470" si="1149">+BP470/BC470</f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424"/>
        <v>44371</v>
      </c>
      <c r="C471" s="61"/>
      <c r="D471" s="17">
        <v>15460</v>
      </c>
      <c r="E471" s="16"/>
      <c r="F471" s="16"/>
      <c r="G471" s="16"/>
      <c r="H471" s="16">
        <f t="shared" ref="H471" si="1150">+H470+D471</f>
        <v>33952466</v>
      </c>
      <c r="I471" s="16"/>
      <c r="J471" s="436">
        <f t="shared" ref="J471" si="1151">+D471/H470</f>
        <v>4.555499091463755E-4</v>
      </c>
      <c r="K471" s="16"/>
      <c r="L471" s="16"/>
      <c r="M471" s="16"/>
      <c r="N471" s="16">
        <f t="shared" ref="N471" si="1152">SUM(D465:D471)</f>
        <v>77047</v>
      </c>
      <c r="O471" s="16">
        <f t="shared" ref="O471" si="1153">+H471/BW471</f>
        <v>73490.186147186148</v>
      </c>
      <c r="P471" s="41"/>
      <c r="Q471" s="17">
        <f t="shared" ref="Q471" si="1154">SUM(D465:D471)</f>
        <v>77047</v>
      </c>
      <c r="R471" s="16"/>
      <c r="S471" s="60">
        <f t="shared" ref="S471" si="1155">+(Q471-Q464)/Q464</f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ref="Z471" si="1156">SUM(W466:W471)</f>
        <v>1633</v>
      </c>
      <c r="AA471" s="33">
        <f t="shared" ref="AA471" si="1157">+AA470+W471</f>
        <v>604046</v>
      </c>
      <c r="AB471" s="33"/>
      <c r="AC471" s="46">
        <f t="shared" ref="AC471" si="1158">+AA471/H471</f>
        <v>1.7790931592421004E-2</v>
      </c>
      <c r="AD471" s="33"/>
      <c r="AE471" s="33">
        <f t="shared" ref="AE471" si="1159">+AA471/BW471</f>
        <v>1307.4588744588746</v>
      </c>
      <c r="AF471" s="50"/>
      <c r="AG471" s="33">
        <f t="shared" ref="AG471" si="1160">SUM(W465:W471)</f>
        <v>2026</v>
      </c>
      <c r="AH471" s="33">
        <f t="shared" ref="AH471" si="1161">SUM(D442:D914)</f>
        <v>1122438702.060914</v>
      </c>
      <c r="AI471" s="213">
        <f t="shared" ref="AI471" si="1162">+(AG471-AG464)/AG464</f>
        <v>-9.6745430227374057E-2</v>
      </c>
      <c r="AJ471" s="50"/>
      <c r="AK471" s="111" t="s">
        <v>26</v>
      </c>
      <c r="AL471" s="23">
        <f t="shared" ref="AL471" si="1163">+AP471-AP470</f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ref="AR471" si="1164">+AL471/AP470</f>
        <v>8.0807669082439554E-4</v>
      </c>
      <c r="AS471" s="25"/>
      <c r="AT471" s="25"/>
      <c r="AU471" s="24"/>
      <c r="AV471" s="298">
        <f t="shared" ref="AV471" si="1165">+AP471/H471</f>
        <v>0.85044002400296936</v>
      </c>
      <c r="AW471" s="298"/>
      <c r="AX471" s="24">
        <f t="shared" ref="AX471" si="1166">+AP471/BW471</f>
        <v>62498.995670995668</v>
      </c>
      <c r="AY471" s="308"/>
      <c r="AZ471" s="111" t="s">
        <v>26</v>
      </c>
      <c r="BA471" s="65">
        <f t="shared" ref="BA471" si="1167">+BC471-BC470</f>
        <v>500000</v>
      </c>
      <c r="BB471" s="66"/>
      <c r="BC471" s="66">
        <v>502180123</v>
      </c>
      <c r="BD471" s="66"/>
      <c r="BE471" s="66">
        <f t="shared" ref="BE471" si="1168">+D471</f>
        <v>15460</v>
      </c>
      <c r="BF471" s="66"/>
      <c r="BG471" s="144">
        <f t="shared" ref="BG471" si="1169">+BE471/BA471</f>
        <v>3.092E-2</v>
      </c>
      <c r="BH471" s="66"/>
      <c r="BI471" s="170"/>
      <c r="BJ471" s="66"/>
      <c r="BK471" s="66">
        <f t="shared" ref="BK471" si="1170">SUM(BA465:BA471)</f>
        <v>4770412</v>
      </c>
      <c r="BL471" s="66"/>
      <c r="BM471" s="144">
        <f t="shared" ref="BM471" si="1171">+Q471/BK471</f>
        <v>1.6151015887097383E-2</v>
      </c>
      <c r="BN471" s="65">
        <f t="shared" ref="BN471" si="1172">+BC471/BW471</f>
        <v>1086969.9632034632</v>
      </c>
      <c r="BO471" s="66"/>
      <c r="BP471" s="66">
        <f t="shared" ref="BP471" si="1173">+BP470+BE471</f>
        <v>33045488</v>
      </c>
      <c r="BQ471" s="66"/>
      <c r="BR471" s="435">
        <f t="shared" ref="BR471" si="1174">+BP471/BC471</f>
        <v>6.580405413616898E-2</v>
      </c>
      <c r="BS471" s="66"/>
      <c r="BT471" s="75"/>
      <c r="BU471" s="170"/>
      <c r="BV471" s="1"/>
      <c r="BW471" s="61">
        <f t="shared" ref="BW471:BW551" si="1175">+BW470+1</f>
        <v>462</v>
      </c>
    </row>
    <row r="472" spans="2:75" x14ac:dyDescent="0.3">
      <c r="B472" s="158">
        <f t="shared" si="424"/>
        <v>44372</v>
      </c>
      <c r="C472" s="61"/>
      <c r="D472" s="17">
        <v>15537</v>
      </c>
      <c r="E472" s="16"/>
      <c r="F472" s="16"/>
      <c r="G472" s="16"/>
      <c r="H472" s="16">
        <f t="shared" ref="H472" si="1176">+H471+D472</f>
        <v>33968003</v>
      </c>
      <c r="I472" s="16"/>
      <c r="J472" s="436">
        <f t="shared" ref="J472" si="1177">+D472/H471</f>
        <v>4.5761035442904206E-4</v>
      </c>
      <c r="K472" s="16"/>
      <c r="L472" s="16"/>
      <c r="M472" s="16"/>
      <c r="N472" s="16">
        <f t="shared" ref="N472" si="1178">SUM(D466:D472)</f>
        <v>79195</v>
      </c>
      <c r="O472" s="16">
        <f t="shared" ref="O472" si="1179">+H472/BW472</f>
        <v>73365.017278617714</v>
      </c>
      <c r="P472" s="41"/>
      <c r="Q472" s="17">
        <f t="shared" ref="Q472" si="1180">SUM(D466:D472)</f>
        <v>79195</v>
      </c>
      <c r="R472" s="16"/>
      <c r="S472" s="60">
        <f t="shared" ref="S472" si="1181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" si="1182">SUM(W467:W472)</f>
        <v>1850</v>
      </c>
      <c r="AA472" s="33">
        <f t="shared" ref="AA472" si="1183">+AA471+W472</f>
        <v>604433</v>
      </c>
      <c r="AB472" s="33"/>
      <c r="AC472" s="46">
        <f t="shared" ref="AC472" si="1184">+AA472/H472</f>
        <v>1.7794187076584984E-2</v>
      </c>
      <c r="AD472" s="33"/>
      <c r="AE472" s="33">
        <f t="shared" ref="AE472" si="1185">+AA472/BW472</f>
        <v>1305.4708423326133</v>
      </c>
      <c r="AF472" s="50"/>
      <c r="AG472" s="33">
        <f t="shared" ref="AG472" si="1186">SUM(W466:W472)</f>
        <v>2020</v>
      </c>
      <c r="AH472" s="33">
        <f t="shared" ref="AH472" si="1187">SUM(D443:D915)</f>
        <v>1122415202.060914</v>
      </c>
      <c r="AI472" s="213">
        <f t="shared" ref="AI472" si="1188">+(AG472-AG465)/AG465</f>
        <v>-8.8036117381489837E-2</v>
      </c>
      <c r="AJ472" s="50"/>
      <c r="AK472" s="111"/>
      <c r="AL472" s="23">
        <f t="shared" ref="AL472" si="1189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" si="1190">+AL472/AP471</f>
        <v>7.9391751957503317E-4</v>
      </c>
      <c r="AS472" s="25"/>
      <c r="AT472" s="25"/>
      <c r="AU472" s="24"/>
      <c r="AV472" s="298">
        <f t="shared" ref="AV472" si="1191">+AP472/H472</f>
        <v>0.85072590225571987</v>
      </c>
      <c r="AW472" s="298"/>
      <c r="AX472" s="24">
        <f t="shared" ref="AX472" si="1192">+AP472/BW472</f>
        <v>62413.520518358535</v>
      </c>
      <c r="AY472" s="308"/>
      <c r="AZ472" s="111"/>
      <c r="BA472" s="65">
        <f t="shared" ref="BA472" si="1193">+BC472-BC471</f>
        <v>826269</v>
      </c>
      <c r="BB472" s="66"/>
      <c r="BC472" s="66">
        <v>503006392</v>
      </c>
      <c r="BD472" s="66"/>
      <c r="BE472" s="66">
        <f t="shared" ref="BE472" si="1194">+D472</f>
        <v>15537</v>
      </c>
      <c r="BF472" s="66"/>
      <c r="BG472" s="144">
        <f t="shared" ref="BG472" si="1195">+BE472/BA472</f>
        <v>1.8803803603911075E-2</v>
      </c>
      <c r="BH472" s="66"/>
      <c r="BI472" s="170"/>
      <c r="BJ472" s="66"/>
      <c r="BK472" s="66">
        <f t="shared" ref="BK472" si="1196">SUM(BA466:BA472)</f>
        <v>4776317</v>
      </c>
      <c r="BL472" s="66"/>
      <c r="BM472" s="144">
        <f t="shared" ref="BM472" si="1197">+Q472/BK472</f>
        <v>1.6580767147574168E-2</v>
      </c>
      <c r="BN472" s="65">
        <f t="shared" ref="BN472" si="1198">+BC472/BW472</f>
        <v>1086406.8941684666</v>
      </c>
      <c r="BO472" s="66"/>
      <c r="BP472" s="66">
        <f t="shared" ref="BP472" si="1199">+BP471+BE472</f>
        <v>33061025</v>
      </c>
      <c r="BQ472" s="66"/>
      <c r="BR472" s="435">
        <f t="shared" ref="BR472" si="1200">+BP472/BC472</f>
        <v>6.5726848656030595E-2</v>
      </c>
      <c r="BS472" s="66"/>
      <c r="BT472" s="75"/>
      <c r="BU472" s="170"/>
      <c r="BV472" s="1"/>
      <c r="BW472" s="61">
        <f t="shared" si="1175"/>
        <v>463</v>
      </c>
    </row>
    <row r="473" spans="2:75" x14ac:dyDescent="0.3">
      <c r="B473" s="158">
        <f t="shared" si="424"/>
        <v>44373</v>
      </c>
      <c r="C473" s="61"/>
      <c r="D473" s="17">
        <v>6586</v>
      </c>
      <c r="E473" s="16"/>
      <c r="F473" s="16"/>
      <c r="G473" s="16"/>
      <c r="H473" s="16">
        <f t="shared" ref="H473" si="1201">+H472+D473</f>
        <v>33974589</v>
      </c>
      <c r="I473" s="16"/>
      <c r="J473" s="436">
        <f t="shared" ref="J473" si="1202">+D473/H472</f>
        <v>1.9388834839657781E-4</v>
      </c>
      <c r="K473" s="16"/>
      <c r="L473" s="16"/>
      <c r="M473" s="16"/>
      <c r="N473" s="16">
        <f t="shared" ref="N473" si="1203">SUM(D467:D473)</f>
        <v>77999</v>
      </c>
      <c r="O473" s="16">
        <f t="shared" ref="O473" si="1204">+H473/BW473</f>
        <v>73221.096982758623</v>
      </c>
      <c r="P473" s="41"/>
      <c r="Q473" s="17">
        <f t="shared" ref="Q473" si="1205">SUM(D467:D473)</f>
        <v>77999</v>
      </c>
      <c r="R473" s="16"/>
      <c r="S473" s="60">
        <f t="shared" ref="S473" si="1206">+(Q473-Q466)/Q466</f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ref="Z473" si="1207">SUM(W468:W473)</f>
        <v>1913</v>
      </c>
      <c r="AA473" s="33">
        <f t="shared" ref="AA473" si="1208">+AA472+W473</f>
        <v>604582</v>
      </c>
      <c r="AB473" s="33"/>
      <c r="AC473" s="46">
        <f t="shared" ref="AC473" si="1209">+AA473/H473</f>
        <v>1.7795123290527518E-2</v>
      </c>
      <c r="AD473" s="33"/>
      <c r="AE473" s="33">
        <f t="shared" ref="AE473" si="1210">+AA473/BW473</f>
        <v>1302.9784482758621</v>
      </c>
      <c r="AF473" s="50"/>
      <c r="AG473" s="33">
        <f t="shared" ref="AG473" si="1211">SUM(W467:W473)</f>
        <v>1999</v>
      </c>
      <c r="AH473" s="33">
        <f t="shared" ref="AH473" si="1212">SUM(D444:D916)</f>
        <v>1122390809.060914</v>
      </c>
      <c r="AI473" s="213">
        <f t="shared" ref="AI473" si="1213">+(AG473-AG466)/AG466</f>
        <v>-3.7554164660568129E-2</v>
      </c>
      <c r="AJ473" s="50"/>
      <c r="AK473" s="111"/>
      <c r="AL473" s="23">
        <f t="shared" ref="AL473" si="1214">+AP473-AP472</f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ref="AR473" si="1215">+AL473/AP472</f>
        <v>5.3451064557230978E-4</v>
      </c>
      <c r="AS473" s="25"/>
      <c r="AT473" s="25"/>
      <c r="AU473" s="24"/>
      <c r="AV473" s="298">
        <f t="shared" ref="AV473" si="1216">+AP473/H473</f>
        <v>0.85101562229347349</v>
      </c>
      <c r="AW473" s="298"/>
      <c r="AX473" s="24">
        <f t="shared" ref="AX473" si="1217">+AP473/BW473</f>
        <v>62312.297413793101</v>
      </c>
      <c r="AY473" s="308"/>
      <c r="AZ473" s="111"/>
      <c r="BA473" s="65">
        <f t="shared" ref="BA473" si="1218">+BC473-BC472</f>
        <v>451282</v>
      </c>
      <c r="BB473" s="66"/>
      <c r="BC473" s="66">
        <v>503457674</v>
      </c>
      <c r="BD473" s="66"/>
      <c r="BE473" s="66">
        <f t="shared" ref="BE473" si="1219">+D473</f>
        <v>6586</v>
      </c>
      <c r="BF473" s="66"/>
      <c r="BG473" s="144">
        <f t="shared" ref="BG473" si="1220">+BE473/BA473</f>
        <v>1.4593978931133969E-2</v>
      </c>
      <c r="BH473" s="66"/>
      <c r="BI473" s="170"/>
      <c r="BJ473" s="66"/>
      <c r="BK473" s="66">
        <f t="shared" ref="BK473" si="1221">SUM(BA467:BA473)</f>
        <v>4768463</v>
      </c>
      <c r="BL473" s="66"/>
      <c r="BM473" s="144">
        <f t="shared" ref="BM473" si="1222">+Q473/BK473</f>
        <v>1.6357262287659567E-2</v>
      </c>
      <c r="BN473" s="65">
        <f t="shared" ref="BN473" si="1223">+BC473/BW473</f>
        <v>1085038.0905172413</v>
      </c>
      <c r="BO473" s="66"/>
      <c r="BP473" s="66">
        <f t="shared" ref="BP473" si="1224">+BP472+BE473</f>
        <v>33067611</v>
      </c>
      <c r="BQ473" s="66"/>
      <c r="BR473" s="435">
        <f t="shared" ref="BR473" si="1225">+BP473/BC473</f>
        <v>6.56810149248018E-2</v>
      </c>
      <c r="BS473" s="66"/>
      <c r="BT473" s="75"/>
      <c r="BU473" s="170"/>
      <c r="BV473" s="1"/>
      <c r="BW473" s="61">
        <f t="shared" si="1175"/>
        <v>464</v>
      </c>
    </row>
    <row r="474" spans="2:75" x14ac:dyDescent="0.3">
      <c r="B474" s="347">
        <f t="shared" si="424"/>
        <v>44374</v>
      </c>
      <c r="C474" s="61"/>
      <c r="D474" s="17">
        <v>7306</v>
      </c>
      <c r="E474" s="16"/>
      <c r="F474" s="16"/>
      <c r="G474" s="16"/>
      <c r="H474" s="16">
        <f t="shared" ref="H474" si="1226">+H473+D474</f>
        <v>33981895</v>
      </c>
      <c r="I474" s="16"/>
      <c r="J474" s="436">
        <f t="shared" ref="J474" si="1227">+D474/H473</f>
        <v>2.1504307233856458E-4</v>
      </c>
      <c r="K474" s="16"/>
      <c r="L474" s="16"/>
      <c r="M474" s="16"/>
      <c r="N474" s="16">
        <f t="shared" ref="N474" si="1228">SUM(D468:D474)</f>
        <v>80883</v>
      </c>
      <c r="O474" s="16">
        <f t="shared" ref="O474" si="1229">+H474/BW474</f>
        <v>73079.344086021505</v>
      </c>
      <c r="P474" s="41"/>
      <c r="Q474" s="17">
        <f t="shared" ref="Q474" si="1230">SUM(D468:D474)</f>
        <v>80883</v>
      </c>
      <c r="R474" s="16"/>
      <c r="S474" s="60">
        <f t="shared" ref="S474" si="1231">+(Q474-Q467)/Q467</f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ref="Z474" si="1232">SUM(W469:W474)</f>
        <v>1782</v>
      </c>
      <c r="AA474" s="33">
        <f t="shared" ref="AA474" si="1233">+AA473+W474</f>
        <v>604688</v>
      </c>
      <c r="AB474" s="33"/>
      <c r="AC474" s="46">
        <f t="shared" ref="AC474" si="1234">+AA474/H474</f>
        <v>1.779441670336513E-2</v>
      </c>
      <c r="AD474" s="33"/>
      <c r="AE474" s="33">
        <f t="shared" ref="AE474" si="1235">+AA474/BW474</f>
        <v>1300.4043010752689</v>
      </c>
      <c r="AF474" s="50"/>
      <c r="AG474" s="33">
        <f t="shared" ref="AG474" si="1236">SUM(W468:W474)</f>
        <v>2019</v>
      </c>
      <c r="AH474" s="33">
        <f t="shared" ref="AH474" si="1237">SUM(D445:D917)</f>
        <v>1122367996.060914</v>
      </c>
      <c r="AI474" s="213">
        <f t="shared" ref="AI474" si="1238">+(AG474-AG467)/AG467</f>
        <v>-2.1328162869607366E-2</v>
      </c>
      <c r="AJ474" s="50"/>
      <c r="AK474" s="111"/>
      <c r="AL474" s="23">
        <f t="shared" ref="AL474" si="1239">+AP474-AP473</f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ref="AR474" si="1240">+AL474/AP473</f>
        <v>5.6037258932049242E-4</v>
      </c>
      <c r="AS474" s="25"/>
      <c r="AT474" s="25"/>
      <c r="AU474" s="24"/>
      <c r="AV474" s="298">
        <f t="shared" ref="AV474" si="1241">+AP474/H474</f>
        <v>0.85130943992381825</v>
      </c>
      <c r="AW474" s="298"/>
      <c r="AX474" s="24">
        <f t="shared" ref="AX474" si="1242">+AP474/BW474</f>
        <v>62213.135483870967</v>
      </c>
      <c r="AY474" s="308"/>
      <c r="AZ474" s="111"/>
      <c r="BA474" s="65">
        <f t="shared" ref="BA474" si="1243">+BC474-BC473</f>
        <v>366543</v>
      </c>
      <c r="BB474" s="66"/>
      <c r="BC474" s="66">
        <v>503824217</v>
      </c>
      <c r="BD474" s="66"/>
      <c r="BE474" s="66">
        <f t="shared" ref="BE474" si="1244">+D474</f>
        <v>7306</v>
      </c>
      <c r="BF474" s="66"/>
      <c r="BG474" s="144">
        <f t="shared" ref="BG474" si="1245">+BE474/BA474</f>
        <v>1.9932177125194041E-2</v>
      </c>
      <c r="BH474" s="66"/>
      <c r="BI474" s="170"/>
      <c r="BJ474" s="66"/>
      <c r="BK474" s="66">
        <f t="shared" ref="BK474" si="1246">SUM(BA468:BA474)</f>
        <v>4762492</v>
      </c>
      <c r="BL474" s="66"/>
      <c r="BM474" s="144">
        <f t="shared" ref="BM474" si="1247">+Q474/BK474</f>
        <v>1.6983335615051953E-2</v>
      </c>
      <c r="BN474" s="65">
        <f t="shared" ref="BN474" si="1248">+BC474/BW474</f>
        <v>1083492.9397849462</v>
      </c>
      <c r="BO474" s="66"/>
      <c r="BP474" s="66">
        <f t="shared" ref="BP474" si="1249">+BP473+BE474</f>
        <v>33074917</v>
      </c>
      <c r="BQ474" s="66"/>
      <c r="BR474" s="435">
        <f t="shared" ref="BR474" si="1250">+BP474/BC474</f>
        <v>6.5647731657170416E-2</v>
      </c>
      <c r="BS474" s="66"/>
      <c r="BT474" s="75"/>
      <c r="BU474" s="170"/>
      <c r="BV474" s="1"/>
      <c r="BW474" s="61">
        <f t="shared" si="1175"/>
        <v>465</v>
      </c>
    </row>
    <row r="475" spans="2:75" x14ac:dyDescent="0.3">
      <c r="B475" s="158">
        <f t="shared" si="424"/>
        <v>44375</v>
      </c>
      <c r="C475" s="61"/>
      <c r="D475" s="17">
        <v>11982</v>
      </c>
      <c r="E475" s="16"/>
      <c r="F475" s="16"/>
      <c r="G475" s="16"/>
      <c r="H475" s="16">
        <f t="shared" ref="H475" si="1251">+H474+D475</f>
        <v>33993877</v>
      </c>
      <c r="I475" s="16"/>
      <c r="J475" s="436">
        <f t="shared" ref="J475" si="1252">+D475/H474</f>
        <v>3.52599523952387E-4</v>
      </c>
      <c r="K475" s="16"/>
      <c r="L475" s="16"/>
      <c r="M475" s="16"/>
      <c r="N475" s="16">
        <f t="shared" ref="N475" si="1253">SUM(D469:D475)</f>
        <v>83110</v>
      </c>
      <c r="O475" s="16">
        <f t="shared" ref="O475" si="1254">+H475/BW475</f>
        <v>72948.2339055794</v>
      </c>
      <c r="P475" s="41"/>
      <c r="Q475" s="17">
        <f t="shared" ref="Q475" si="1255">SUM(D469:D475)</f>
        <v>83110</v>
      </c>
      <c r="R475" s="16"/>
      <c r="S475" s="60">
        <f t="shared" ref="S475" si="1256">+(Q475-Q468)/Q468</f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ref="Z475" si="1257">SUM(W470:W475)</f>
        <v>1515</v>
      </c>
      <c r="AA475" s="33">
        <f t="shared" ref="AA475" si="1258">+AA474+W475</f>
        <v>604852</v>
      </c>
      <c r="AB475" s="33"/>
      <c r="AC475" s="46">
        <f t="shared" ref="AC475" si="1259">+AA475/H475</f>
        <v>1.7792969010272056E-2</v>
      </c>
      <c r="AD475" s="33"/>
      <c r="AE475" s="33">
        <f t="shared" ref="AE475" si="1260">+AA475/BW475</f>
        <v>1297.9656652360516</v>
      </c>
      <c r="AF475" s="50"/>
      <c r="AG475" s="33">
        <f t="shared" ref="AG475" si="1261">SUM(W469:W475)</f>
        <v>1946</v>
      </c>
      <c r="AH475" s="33">
        <f t="shared" ref="AH475" si="1262">SUM(D446:D918)</f>
        <v>1122355335.060914</v>
      </c>
      <c r="AI475" s="213">
        <f t="shared" ref="AI475" si="1263">+(AG475-AG468)/AG468</f>
        <v>-4.98046875E-2</v>
      </c>
      <c r="AJ475" s="50"/>
      <c r="AK475" s="111"/>
      <c r="AL475" s="23">
        <f t="shared" ref="AL475" si="1264">+AP475-AP474</f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ref="AR475" si="1265">+AL475/AP474</f>
        <v>1.7197903232965221E-3</v>
      </c>
      <c r="AS475" s="25"/>
      <c r="AT475" s="25"/>
      <c r="AU475" s="24"/>
      <c r="AV475" s="298">
        <f t="shared" ref="AV475" si="1266">+AP475/H475</f>
        <v>0.85247293211068564</v>
      </c>
      <c r="AW475" s="298"/>
      <c r="AX475" s="24">
        <f t="shared" ref="AX475" si="1267">+AP475/BW475</f>
        <v>62186.394849785407</v>
      </c>
      <c r="AY475" s="308"/>
      <c r="AZ475" s="111"/>
      <c r="BA475" s="65">
        <f t="shared" ref="BA475" si="1268">+BC475-BC474</f>
        <v>1053856</v>
      </c>
      <c r="BB475" s="66"/>
      <c r="BC475" s="66">
        <v>504878073</v>
      </c>
      <c r="BD475" s="66"/>
      <c r="BE475" s="66">
        <f t="shared" ref="BE475" si="1269">+D475</f>
        <v>11982</v>
      </c>
      <c r="BF475" s="66"/>
      <c r="BG475" s="144">
        <f t="shared" ref="BG475" si="1270">+BE475/BA475</f>
        <v>1.1369674794279295E-2</v>
      </c>
      <c r="BH475" s="66"/>
      <c r="BI475" s="170"/>
      <c r="BJ475" s="66"/>
      <c r="BK475" s="66">
        <f t="shared" ref="BK475" si="1271">SUM(BA469:BA475)</f>
        <v>4569067</v>
      </c>
      <c r="BL475" s="66"/>
      <c r="BM475" s="144">
        <f t="shared" ref="BM475" si="1272">+Q475/BK475</f>
        <v>1.8189709190081914E-2</v>
      </c>
      <c r="BN475" s="65">
        <f t="shared" ref="BN475" si="1273">+BC475/BW475</f>
        <v>1083429.3412017168</v>
      </c>
      <c r="BO475" s="66"/>
      <c r="BP475" s="66">
        <f t="shared" ref="BP475" si="1274">+BP474+BE475</f>
        <v>33086899</v>
      </c>
      <c r="BQ475" s="66"/>
      <c r="BR475" s="435">
        <f t="shared" ref="BR475" si="1275">+BP475/BC475</f>
        <v>6.5534434489096932E-2</v>
      </c>
      <c r="BS475" s="66"/>
      <c r="BT475" s="75"/>
      <c r="BU475" s="170"/>
      <c r="BV475" s="1"/>
      <c r="BW475" s="61">
        <f t="shared" si="1175"/>
        <v>466</v>
      </c>
    </row>
    <row r="476" spans="2:75" x14ac:dyDescent="0.3">
      <c r="B476" s="158">
        <f t="shared" si="424"/>
        <v>44376</v>
      </c>
      <c r="C476" s="61"/>
      <c r="D476" s="17">
        <v>11427</v>
      </c>
      <c r="E476" s="16"/>
      <c r="F476" s="16"/>
      <c r="G476" s="16"/>
      <c r="H476" s="16">
        <f t="shared" ref="H476" si="1276">+H475+D476</f>
        <v>34005304</v>
      </c>
      <c r="I476" s="16"/>
      <c r="J476" s="436">
        <f t="shared" ref="J476" si="1277">+D476/H475</f>
        <v>3.3614877173321534E-4</v>
      </c>
      <c r="K476" s="16"/>
      <c r="L476" s="16"/>
      <c r="M476" s="16"/>
      <c r="N476" s="16">
        <f t="shared" ref="N476" si="1278">SUM(D470:D476)</f>
        <v>81663</v>
      </c>
      <c r="O476" s="16">
        <f t="shared" ref="O476" si="1279">+H476/BW476</f>
        <v>72816.496788008561</v>
      </c>
      <c r="P476" s="41"/>
      <c r="Q476" s="17">
        <f t="shared" ref="Q476" si="1280">SUM(D470:D476)</f>
        <v>81663</v>
      </c>
      <c r="R476" s="16"/>
      <c r="S476" s="60">
        <f t="shared" ref="S476" si="1281">+(Q476-Q469)/Q469</f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ref="Z476" si="1282">SUM(W471:W476)</f>
        <v>1480</v>
      </c>
      <c r="AA476" s="33">
        <f t="shared" ref="AA476" si="1283">+AA475+W476</f>
        <v>605146</v>
      </c>
      <c r="AB476" s="33"/>
      <c r="AC476" s="46">
        <f t="shared" ref="AC476" si="1284">+AA476/H476</f>
        <v>1.7795635645545177E-2</v>
      </c>
      <c r="AD476" s="33"/>
      <c r="AE476" s="33">
        <f t="shared" ref="AE476" si="1285">+AA476/BW476</f>
        <v>1295.8158458244111</v>
      </c>
      <c r="AF476" s="50"/>
      <c r="AG476" s="33">
        <f t="shared" ref="AG476" si="1286">SUM(W470:W476)</f>
        <v>1809</v>
      </c>
      <c r="AH476" s="33">
        <f t="shared" ref="AH476" si="1287">SUM(D447:D919)</f>
        <v>1122347585.060914</v>
      </c>
      <c r="AI476" s="213">
        <f t="shared" ref="AI476" si="1288">+(AG476-AG469)/AG469</f>
        <v>-0.14910630291627469</v>
      </c>
      <c r="AJ476" s="50"/>
      <c r="AK476" s="111"/>
      <c r="AL476" s="23">
        <f t="shared" ref="AL476" si="1289">+AP476-AP475</f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ref="AR476" si="1290">+AL476/AP475</f>
        <v>9.8392414332378834E-4</v>
      </c>
      <c r="AS476" s="25"/>
      <c r="AT476" s="25"/>
      <c r="AU476" s="24"/>
      <c r="AV476" s="298">
        <f t="shared" ref="AV476" si="1291">+AP476/H476</f>
        <v>0.8530249575183918</v>
      </c>
      <c r="AW476" s="298"/>
      <c r="AX476" s="24">
        <f t="shared" ref="AX476" si="1292">+AP476/BW476</f>
        <v>62114.289079229122</v>
      </c>
      <c r="AY476" s="308"/>
      <c r="AZ476" s="111"/>
      <c r="BA476" s="65">
        <f t="shared" ref="BA476" si="1293">+BC476-BC475</f>
        <v>514526</v>
      </c>
      <c r="BB476" s="66"/>
      <c r="BC476" s="66">
        <v>505392599</v>
      </c>
      <c r="BD476" s="66"/>
      <c r="BE476" s="66">
        <f t="shared" ref="BE476" si="1294">+D476</f>
        <v>11427</v>
      </c>
      <c r="BF476" s="66"/>
      <c r="BG476" s="144">
        <f t="shared" ref="BG476" si="1295">+BE476/BA476</f>
        <v>2.2208790226344248E-2</v>
      </c>
      <c r="BH476" s="66"/>
      <c r="BI476" s="170"/>
      <c r="BJ476" s="66"/>
      <c r="BK476" s="66">
        <f t="shared" ref="BK476" si="1296">SUM(BA470:BA476)</f>
        <v>4601747</v>
      </c>
      <c r="BL476" s="66"/>
      <c r="BM476" s="144">
        <f t="shared" ref="BM476" si="1297">+Q476/BK476</f>
        <v>1.7746086431957256E-2</v>
      </c>
      <c r="BN476" s="65">
        <f t="shared" ref="BN476" si="1298">+BC476/BW476</f>
        <v>1082211.1327623127</v>
      </c>
      <c r="BO476" s="66"/>
      <c r="BP476" s="66">
        <f t="shared" ref="BP476" si="1299">+BP475+BE476</f>
        <v>33098326</v>
      </c>
      <c r="BQ476" s="66"/>
      <c r="BR476" s="435">
        <f t="shared" ref="BR476" si="1300">+BP476/BC476</f>
        <v>6.5490325868424515E-2</v>
      </c>
      <c r="BS476" s="66"/>
      <c r="BT476" s="75"/>
      <c r="BU476" s="170"/>
      <c r="BV476" s="1"/>
      <c r="BW476" s="61">
        <f t="shared" si="1175"/>
        <v>467</v>
      </c>
    </row>
    <row r="477" spans="2:75" x14ac:dyDescent="0.3">
      <c r="B477" s="158">
        <f t="shared" si="424"/>
        <v>44377</v>
      </c>
      <c r="C477" s="61"/>
      <c r="D477" s="17">
        <v>14197</v>
      </c>
      <c r="E477" s="16"/>
      <c r="F477" s="16"/>
      <c r="G477" s="16"/>
      <c r="H477" s="16">
        <f t="shared" ref="H477" si="1301">+H476+D477</f>
        <v>34019501</v>
      </c>
      <c r="I477" s="16"/>
      <c r="J477" s="436">
        <f t="shared" ref="J477" si="1302">+D477/H476</f>
        <v>4.1749369451306772E-4</v>
      </c>
      <c r="K477" s="16"/>
      <c r="L477" s="16"/>
      <c r="M477" s="16"/>
      <c r="N477" s="16">
        <f t="shared" ref="N477" si="1303">SUM(D471:D477)</f>
        <v>82495</v>
      </c>
      <c r="O477" s="16">
        <f t="shared" ref="O477" si="1304">+H477/BW477</f>
        <v>72691.241452991453</v>
      </c>
      <c r="P477" s="41"/>
      <c r="Q477" s="17">
        <f t="shared" ref="Q477" si="1305">SUM(D471:D477)</f>
        <v>82495</v>
      </c>
      <c r="R477" s="16"/>
      <c r="S477" s="60">
        <f t="shared" ref="S477" si="1306">+(Q477-Q470)/Q470</f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ref="Z477" si="1307">SUM(W472:W477)</f>
        <v>1349</v>
      </c>
      <c r="AA477" s="33">
        <f t="shared" ref="AA477" si="1308">+AA476+W477</f>
        <v>605395</v>
      </c>
      <c r="AB477" s="33"/>
      <c r="AC477" s="46">
        <f t="shared" ref="AC477" si="1309">+AA477/H477</f>
        <v>1.7795528511720379E-2</v>
      </c>
      <c r="AD477" s="33"/>
      <c r="AE477" s="33">
        <f t="shared" ref="AE477" si="1310">+AA477/BW477</f>
        <v>1293.5790598290598</v>
      </c>
      <c r="AF477" s="50"/>
      <c r="AG477" s="33">
        <f t="shared" ref="AG477" si="1311">SUM(W471:W477)</f>
        <v>1729</v>
      </c>
      <c r="AH477" s="33">
        <f t="shared" ref="AH477" si="1312">SUM(D448:D920)</f>
        <v>1122342350.060914</v>
      </c>
      <c r="AI477" s="213">
        <f t="shared" ref="AI477" si="1313">+(AG477-AG470)/AG470</f>
        <v>-0.14448292924294903</v>
      </c>
      <c r="AJ477" s="50"/>
      <c r="AK477" s="111"/>
      <c r="AL477" s="23">
        <f t="shared" ref="AL477" si="1314">+AP477-AP476</f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ref="AR477" si="1315">+AL477/AP476</f>
        <v>6.6586519227370224E-4</v>
      </c>
      <c r="AS477" s="25"/>
      <c r="AT477" s="25"/>
      <c r="AU477" s="24"/>
      <c r="AV477" s="298">
        <f t="shared" ref="AV477" si="1316">+AP477/H477</f>
        <v>0.85323673618845852</v>
      </c>
      <c r="AW477" s="298"/>
      <c r="AX477" s="24">
        <f t="shared" ref="AX477" si="1317">+AP477/BW477</f>
        <v>62022.837606837609</v>
      </c>
      <c r="AY477" s="308"/>
      <c r="AZ477" s="111"/>
      <c r="BA477" s="65">
        <f t="shared" ref="BA477" si="1318">+BC477-BC476</f>
        <v>766529</v>
      </c>
      <c r="BB477" s="66"/>
      <c r="BC477" s="66">
        <v>506159128</v>
      </c>
      <c r="BD477" s="66"/>
      <c r="BE477" s="66">
        <f t="shared" ref="BE477" si="1319">+D477</f>
        <v>14197</v>
      </c>
      <c r="BF477" s="66"/>
      <c r="BG477" s="144">
        <f t="shared" ref="BG477" si="1320">+BE477/BA477</f>
        <v>1.8521151841613299E-2</v>
      </c>
      <c r="BH477" s="66"/>
      <c r="BI477" s="170"/>
      <c r="BJ477" s="66"/>
      <c r="BK477" s="66">
        <f t="shared" ref="BK477" si="1321">SUM(BA471:BA477)</f>
        <v>4479005</v>
      </c>
      <c r="BL477" s="66"/>
      <c r="BM477" s="144">
        <f t="shared" ref="BM477" si="1322">+Q477/BK477</f>
        <v>1.8418153138922595E-2</v>
      </c>
      <c r="BN477" s="65">
        <f t="shared" ref="BN477" si="1323">+BC477/BW477</f>
        <v>1081536.5982905983</v>
      </c>
      <c r="BO477" s="66"/>
      <c r="BP477" s="66">
        <f t="shared" ref="BP477" si="1324">+BP476+BE477</f>
        <v>33112523</v>
      </c>
      <c r="BQ477" s="66"/>
      <c r="BR477" s="435">
        <f t="shared" ref="BR477" si="1325">+BP477/BC477</f>
        <v>6.5419195601269492E-2</v>
      </c>
      <c r="BS477" s="66"/>
      <c r="BT477" s="75"/>
      <c r="BU477" s="170"/>
      <c r="BV477" s="1"/>
      <c r="BW477" s="61">
        <f t="shared" si="1175"/>
        <v>468</v>
      </c>
    </row>
    <row r="478" spans="2:75" x14ac:dyDescent="0.3">
      <c r="B478" s="158">
        <f t="shared" si="424"/>
        <v>44378</v>
      </c>
      <c r="C478" s="61"/>
      <c r="D478" s="17">
        <v>16949</v>
      </c>
      <c r="E478" s="16"/>
      <c r="F478" s="16"/>
      <c r="G478" s="16"/>
      <c r="H478" s="16">
        <f t="shared" ref="H478" si="1326">+H477+D478</f>
        <v>34036450</v>
      </c>
      <c r="I478" s="16"/>
      <c r="J478" s="436">
        <f t="shared" ref="J478" si="1327">+D478/H477</f>
        <v>4.9821424482387328E-4</v>
      </c>
      <c r="K478" s="16"/>
      <c r="L478" s="16"/>
      <c r="M478" s="16"/>
      <c r="N478" s="16">
        <f t="shared" ref="N478" si="1328">SUM(D472:D478)</f>
        <v>83984</v>
      </c>
      <c r="O478" s="16">
        <f t="shared" ref="O478" si="1329">+H478/BW478</f>
        <v>72572.388059701494</v>
      </c>
      <c r="P478" s="41"/>
      <c r="Q478" s="17">
        <f t="shared" ref="Q478" si="1330">SUM(D472:D478)</f>
        <v>83984</v>
      </c>
      <c r="R478" s="16"/>
      <c r="S478" s="60">
        <f t="shared" ref="S478" si="1331">+(Q478-Q471)/Q471</f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ref="Z478" si="1332">SUM(W473:W478)</f>
        <v>1277</v>
      </c>
      <c r="AA478" s="33">
        <f t="shared" ref="AA478" si="1333">+AA477+W478</f>
        <v>605710</v>
      </c>
      <c r="AB478" s="33"/>
      <c r="AC478" s="46">
        <f t="shared" ref="AC478" si="1334">+AA478/H478</f>
        <v>1.7795921725091778E-2</v>
      </c>
      <c r="AD478" s="33"/>
      <c r="AE478" s="33">
        <f t="shared" ref="AE478" si="1335">+AA478/BW478</f>
        <v>1291.4925373134329</v>
      </c>
      <c r="AF478" s="50"/>
      <c r="AG478" s="33">
        <f t="shared" ref="AG478" si="1336">SUM(W472:W478)</f>
        <v>1664</v>
      </c>
      <c r="AH478" s="33">
        <f t="shared" ref="AH478" si="1337">SUM(D449:D921)</f>
        <v>1122329374.060914</v>
      </c>
      <c r="AI478" s="213">
        <f t="shared" ref="AI478" si="1338">+(AG478-AG471)/AG471</f>
        <v>-0.17867719644619942</v>
      </c>
      <c r="AJ478" s="50"/>
      <c r="AK478" s="111"/>
      <c r="AL478" s="23">
        <f t="shared" ref="AL478" si="1339">+AP478-AP477</f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ref="AR478" si="1340">+AL478/AP477</f>
        <v>8.7502232428308729E-4</v>
      </c>
      <c r="AS478" s="25"/>
      <c r="AT478" s="25"/>
      <c r="AU478" s="24"/>
      <c r="AV478" s="298">
        <f t="shared" ref="AV478" si="1341">+AP478/H478</f>
        <v>0.85355808258499344</v>
      </c>
      <c r="AW478" s="298"/>
      <c r="AX478" s="24">
        <f t="shared" ref="AX478" si="1342">+AP478/BW478</f>
        <v>61944.748400852877</v>
      </c>
      <c r="AY478" s="308"/>
      <c r="AZ478" s="111"/>
      <c r="BA478" s="65">
        <f t="shared" ref="BA478" si="1343">+BC478-BC477</f>
        <v>445484</v>
      </c>
      <c r="BB478" s="66"/>
      <c r="BC478" s="66">
        <v>506604612</v>
      </c>
      <c r="BD478" s="66"/>
      <c r="BE478" s="66">
        <f t="shared" ref="BE478" si="1344">+D478</f>
        <v>16949</v>
      </c>
      <c r="BF478" s="66"/>
      <c r="BG478" s="144">
        <f t="shared" ref="BG478" si="1345">+BE478/BA478</f>
        <v>3.8046259798331705E-2</v>
      </c>
      <c r="BH478" s="66"/>
      <c r="BI478" s="170"/>
      <c r="BJ478" s="66"/>
      <c r="BK478" s="66">
        <f t="shared" ref="BK478" si="1346">SUM(BA472:BA478)</f>
        <v>4424489</v>
      </c>
      <c r="BL478" s="66"/>
      <c r="BM478" s="144">
        <f t="shared" ref="BM478" si="1347">+Q478/BK478</f>
        <v>1.8981627030827741E-2</v>
      </c>
      <c r="BN478" s="65">
        <f t="shared" ref="BN478" si="1348">+BC478/BW478</f>
        <v>1080180.4093816632</v>
      </c>
      <c r="BO478" s="66"/>
      <c r="BP478" s="66">
        <f t="shared" ref="BP478" si="1349">+BP477+BE478</f>
        <v>33129472</v>
      </c>
      <c r="BQ478" s="66"/>
      <c r="BR478" s="435">
        <f t="shared" ref="BR478" si="1350">+BP478/BC478</f>
        <v>6.5395125143471844E-2</v>
      </c>
      <c r="BS478" s="66"/>
      <c r="BT478" s="75"/>
      <c r="BU478" s="170"/>
      <c r="BV478" s="1"/>
      <c r="BW478" s="61">
        <f t="shared" si="1175"/>
        <v>469</v>
      </c>
    </row>
    <row r="479" spans="2:75" x14ac:dyDescent="0.3">
      <c r="B479" s="158">
        <f t="shared" si="424"/>
        <v>44379</v>
      </c>
      <c r="C479" s="61"/>
      <c r="D479" s="17">
        <v>18399</v>
      </c>
      <c r="E479" s="16"/>
      <c r="F479" s="16"/>
      <c r="G479" s="16"/>
      <c r="H479" s="16">
        <f t="shared" ref="H479" si="1351">+H478+D479</f>
        <v>34054849</v>
      </c>
      <c r="I479" s="16"/>
      <c r="J479" s="436">
        <f t="shared" ref="J479" si="1352">+D479/H478</f>
        <v>5.4056753862403398E-4</v>
      </c>
      <c r="K479" s="16"/>
      <c r="L479" s="16"/>
      <c r="M479" s="16"/>
      <c r="N479" s="16">
        <f t="shared" ref="N479" si="1353">SUM(D473:D479)</f>
        <v>86846</v>
      </c>
      <c r="O479" s="16">
        <f t="shared" ref="O479" si="1354">+H479/BW479</f>
        <v>72457.125531914891</v>
      </c>
      <c r="P479" s="41"/>
      <c r="Q479" s="17">
        <f t="shared" ref="Q479" si="1355">SUM(D473:D479)</f>
        <v>86846</v>
      </c>
      <c r="R479" s="16"/>
      <c r="S479" s="60">
        <f t="shared" ref="S479" si="1356">+(Q479-Q472)/Q472</f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ref="Z479" si="1357">SUM(W474:W479)</f>
        <v>1450</v>
      </c>
      <c r="AA479" s="33">
        <f t="shared" ref="AA479" si="1358">+AA478+W479</f>
        <v>606032</v>
      </c>
      <c r="AB479" s="33"/>
      <c r="AC479" s="46">
        <f t="shared" ref="AC479" si="1359">+AA479/H479</f>
        <v>1.7795762359715646E-2</v>
      </c>
      <c r="AD479" s="33"/>
      <c r="AE479" s="33">
        <f t="shared" ref="AE479" si="1360">+AA479/BW479</f>
        <v>1289.4297872340426</v>
      </c>
      <c r="AF479" s="50"/>
      <c r="AG479" s="33">
        <f t="shared" ref="AG479" si="1361">SUM(W473:W479)</f>
        <v>1599</v>
      </c>
      <c r="AH479" s="33">
        <f t="shared" ref="AH479" si="1362">SUM(D450:D922)</f>
        <v>1122312400.060914</v>
      </c>
      <c r="AI479" s="213">
        <f t="shared" ref="AI479" si="1363">+(AG479-AG472)/AG472</f>
        <v>-0.20841584158415841</v>
      </c>
      <c r="AJ479" s="50"/>
      <c r="AK479" s="111"/>
      <c r="AL479" s="23">
        <f t="shared" ref="AL479" si="1364">+AP479-AP478</f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ref="AR479" si="1365">+AL479/AP478</f>
        <v>7.1574892364875545E-4</v>
      </c>
      <c r="AS479" s="25"/>
      <c r="AT479" s="25"/>
      <c r="AU479" s="24"/>
      <c r="AV479" s="298">
        <f t="shared" ref="AV479" si="1366">+AP479/H479</f>
        <v>0.85370752928606441</v>
      </c>
      <c r="AW479" s="298"/>
      <c r="AX479" s="24">
        <f t="shared" ref="AX479" si="1367">+AP479/BW479</f>
        <v>61857.193617021279</v>
      </c>
      <c r="AY479" s="308"/>
      <c r="AZ479" s="111"/>
      <c r="BA479" s="65">
        <f t="shared" ref="BA479" si="1368">+BC479-BC478</f>
        <v>741973</v>
      </c>
      <c r="BB479" s="66"/>
      <c r="BC479" s="66">
        <v>507346585</v>
      </c>
      <c r="BD479" s="66"/>
      <c r="BE479" s="66">
        <f t="shared" ref="BE479" si="1369">+D479</f>
        <v>18399</v>
      </c>
      <c r="BF479" s="66"/>
      <c r="BG479" s="144">
        <f t="shared" ref="BG479" si="1370">+BE479/BA479</f>
        <v>2.4797398288077869E-2</v>
      </c>
      <c r="BH479" s="66"/>
      <c r="BI479" s="170"/>
      <c r="BJ479" s="66"/>
      <c r="BK479" s="66">
        <f t="shared" ref="BK479" si="1371">SUM(BA473:BA479)</f>
        <v>4340193</v>
      </c>
      <c r="BL479" s="66"/>
      <c r="BM479" s="144">
        <f t="shared" ref="BM479" si="1372">+Q479/BK479</f>
        <v>2.0009709245648752E-2</v>
      </c>
      <c r="BN479" s="65">
        <f t="shared" ref="BN479" si="1373">+BC479/BW479</f>
        <v>1079460.8191489361</v>
      </c>
      <c r="BO479" s="66"/>
      <c r="BP479" s="66">
        <f t="shared" ref="BP479" si="1374">+BP478+BE479</f>
        <v>33147871</v>
      </c>
      <c r="BQ479" s="66"/>
      <c r="BR479" s="435">
        <f t="shared" ref="BR479" si="1375">+BP479/BC479</f>
        <v>6.5335752678812253E-2</v>
      </c>
      <c r="BS479" s="66"/>
      <c r="BT479" s="75"/>
      <c r="BU479" s="170"/>
      <c r="BV479" s="1"/>
      <c r="BW479" s="61">
        <f t="shared" si="1175"/>
        <v>470</v>
      </c>
    </row>
    <row r="480" spans="2:75" x14ac:dyDescent="0.3">
      <c r="B480" s="158">
        <f t="shared" si="424"/>
        <v>44380</v>
      </c>
      <c r="C480" s="61"/>
      <c r="D480" s="17">
        <v>7978</v>
      </c>
      <c r="E480" s="16"/>
      <c r="F480" s="16"/>
      <c r="G480" s="16"/>
      <c r="H480" s="16">
        <f t="shared" ref="H480" si="1376">+H479+D480</f>
        <v>34062827</v>
      </c>
      <c r="I480" s="16"/>
      <c r="J480" s="436">
        <f t="shared" ref="J480" si="1377">+D480/H479</f>
        <v>2.3426913447773619E-4</v>
      </c>
      <c r="K480" s="16"/>
      <c r="L480" s="16"/>
      <c r="M480" s="16"/>
      <c r="N480" s="16">
        <f t="shared" ref="N480" si="1378">SUM(D474:D480)</f>
        <v>88238</v>
      </c>
      <c r="O480" s="16">
        <f t="shared" ref="O480" si="1379">+H480/BW480</f>
        <v>72320.227176220811</v>
      </c>
      <c r="P480" s="41"/>
      <c r="Q480" s="17">
        <f t="shared" ref="Q480" si="1380">SUM(D474:D480)</f>
        <v>88238</v>
      </c>
      <c r="R480" s="16"/>
      <c r="S480" s="60">
        <f t="shared" ref="S480" si="1381">+(Q480-Q473)/Q473</f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ref="Z480" si="1382">SUM(W475:W480)</f>
        <v>1440</v>
      </c>
      <c r="AA480" s="33">
        <f t="shared" ref="AA480" si="1383">+AA479+W480</f>
        <v>606128</v>
      </c>
      <c r="AB480" s="33"/>
      <c r="AC480" s="46">
        <f t="shared" ref="AC480" si="1384">+AA480/H480</f>
        <v>1.7794412659876996E-2</v>
      </c>
      <c r="AD480" s="33"/>
      <c r="AE480" s="33">
        <f t="shared" ref="AE480" si="1385">+AA480/BW480</f>
        <v>1286.8959660297239</v>
      </c>
      <c r="AF480" s="50"/>
      <c r="AG480" s="33">
        <f t="shared" ref="AG480" si="1386">SUM(W474:W480)</f>
        <v>1546</v>
      </c>
      <c r="AH480" s="33">
        <f t="shared" ref="AH480" si="1387">SUM(D451:D923)</f>
        <v>1122294579.060914</v>
      </c>
      <c r="AI480" s="213">
        <f t="shared" ref="AI480" si="1388">+(AG480-AG473)/AG473</f>
        <v>-0.22661330665332666</v>
      </c>
      <c r="AJ480" s="50"/>
      <c r="AK480" s="111"/>
      <c r="AL480" s="23">
        <f t="shared" ref="AL480" si="1389">+AP480-AP479</f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ref="AR480" si="1390">+AL480/AP479</f>
        <v>5.0012243368656862E-4</v>
      </c>
      <c r="AS480" s="25"/>
      <c r="AT480" s="25"/>
      <c r="AU480" s="24"/>
      <c r="AV480" s="298">
        <f t="shared" ref="AV480" si="1391">+AP480/H480</f>
        <v>0.85393443709178929</v>
      </c>
      <c r="AW480" s="298"/>
      <c r="AX480" s="24">
        <f t="shared" ref="AX480" si="1392">+AP480/BW480</f>
        <v>61756.732484076434</v>
      </c>
      <c r="AY480" s="308"/>
      <c r="AZ480" s="111"/>
      <c r="BA480" s="65">
        <f t="shared" ref="BA480" si="1393">+BC480-BC479</f>
        <v>255291</v>
      </c>
      <c r="BB480" s="66"/>
      <c r="BC480" s="66">
        <v>507601876</v>
      </c>
      <c r="BD480" s="66"/>
      <c r="BE480" s="66">
        <f t="shared" ref="BE480" si="1394">+D480</f>
        <v>7978</v>
      </c>
      <c r="BF480" s="66"/>
      <c r="BG480" s="144">
        <f t="shared" ref="BG480" si="1395">+BE480/BA480</f>
        <v>3.125061204664481E-2</v>
      </c>
      <c r="BH480" s="66"/>
      <c r="BI480" s="170"/>
      <c r="BJ480" s="66"/>
      <c r="BK480" s="66">
        <f t="shared" ref="BK480" si="1396">SUM(BA474:BA480)</f>
        <v>4144202</v>
      </c>
      <c r="BL480" s="66"/>
      <c r="BM480" s="144">
        <f t="shared" ref="BM480" si="1397">+Q480/BK480</f>
        <v>2.1291915789819125E-2</v>
      </c>
      <c r="BN480" s="65">
        <f t="shared" ref="BN480" si="1398">+BC480/BW480</f>
        <v>1077710.9893842887</v>
      </c>
      <c r="BO480" s="66"/>
      <c r="BP480" s="66">
        <f t="shared" ref="BP480" si="1399">+BP479+BE480</f>
        <v>33155849</v>
      </c>
      <c r="BQ480" s="66"/>
      <c r="BR480" s="435">
        <f t="shared" ref="BR480" si="1400">+BP480/BC480</f>
        <v>6.5318610051787906E-2</v>
      </c>
      <c r="BS480" s="66"/>
      <c r="BT480" s="75"/>
      <c r="BU480" s="170"/>
      <c r="BV480" s="1"/>
      <c r="BW480" s="61">
        <f t="shared" si="1175"/>
        <v>471</v>
      </c>
    </row>
    <row r="481" spans="2:75" x14ac:dyDescent="0.3">
      <c r="B481" s="347">
        <f t="shared" si="424"/>
        <v>44381</v>
      </c>
      <c r="C481" s="61"/>
      <c r="D481" s="17">
        <v>5749</v>
      </c>
      <c r="E481" s="16"/>
      <c r="F481" s="16"/>
      <c r="G481" s="16"/>
      <c r="H481" s="16">
        <f t="shared" ref="H481" si="1401">+H480+D481</f>
        <v>34068576</v>
      </c>
      <c r="I481" s="16"/>
      <c r="J481" s="436">
        <f t="shared" ref="J481" si="1402">+D481/H480</f>
        <v>1.6877636139830672E-4</v>
      </c>
      <c r="K481" s="16"/>
      <c r="L481" s="16"/>
      <c r="M481" s="16"/>
      <c r="N481" s="16">
        <f t="shared" ref="N481" si="1403">SUM(D475:D481)</f>
        <v>86681</v>
      </c>
      <c r="O481" s="16">
        <f t="shared" ref="O481" si="1404">+H481/BW481</f>
        <v>72179.186440677964</v>
      </c>
      <c r="P481" s="41"/>
      <c r="Q481" s="17">
        <f t="shared" ref="Q481" si="1405">SUM(D475:D481)</f>
        <v>86681</v>
      </c>
      <c r="R481" s="16"/>
      <c r="S481" s="60">
        <f t="shared" ref="S481" si="1406">+(Q481-Q474)/Q474</f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ref="Z481" si="1407">SUM(W476:W481)</f>
        <v>1331</v>
      </c>
      <c r="AA481" s="33">
        <f t="shared" ref="AA481" si="1408">+AA480+W481</f>
        <v>606183</v>
      </c>
      <c r="AB481" s="33"/>
      <c r="AC481" s="46">
        <f t="shared" ref="AC481" si="1409">+AA481/H481</f>
        <v>1.7793024281378828E-2</v>
      </c>
      <c r="AD481" s="33"/>
      <c r="AE481" s="33">
        <f t="shared" ref="AE481" si="1410">+AA481/BW481</f>
        <v>1284.2860169491526</v>
      </c>
      <c r="AF481" s="50"/>
      <c r="AG481" s="33">
        <f t="shared" ref="AG481" si="1411">SUM(W475:W481)</f>
        <v>1495</v>
      </c>
      <c r="AH481" s="33">
        <f t="shared" ref="AH481" si="1412">SUM(D452:D924)</f>
        <v>1122277654.060914</v>
      </c>
      <c r="AI481" s="213">
        <f t="shared" ref="AI481" si="1413">+(AG481-AG474)/AG474</f>
        <v>-0.25953442298167412</v>
      </c>
      <c r="AJ481" s="50"/>
      <c r="AK481" s="111"/>
      <c r="AL481" s="23">
        <f t="shared" ref="AL481" si="1414">+AP481-AP480</f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ref="AR481" si="1415">+AL481/AP480</f>
        <v>4.4180609893190601E-4</v>
      </c>
      <c r="AS481" s="25"/>
      <c r="AT481" s="25"/>
      <c r="AU481" s="24"/>
      <c r="AV481" s="298">
        <f t="shared" ref="AV481" si="1416">+AP481/H481</f>
        <v>0.85416754724353605</v>
      </c>
      <c r="AW481" s="298"/>
      <c r="AX481" s="24">
        <f t="shared" ref="AX481" si="1417">+AP481/BW481</f>
        <v>61653.118644067799</v>
      </c>
      <c r="AY481" s="308"/>
      <c r="AZ481" s="111"/>
      <c r="BA481" s="65">
        <f t="shared" ref="BA481" si="1418">+BC481-BC480</f>
        <v>483136</v>
      </c>
      <c r="BB481" s="66"/>
      <c r="BC481" s="66">
        <v>508085012</v>
      </c>
      <c r="BD481" s="66"/>
      <c r="BE481" s="66">
        <f t="shared" ref="BE481" si="1419">+D481</f>
        <v>5749</v>
      </c>
      <c r="BF481" s="66"/>
      <c r="BG481" s="144">
        <f t="shared" ref="BG481" si="1420">+BE481/BA481</f>
        <v>1.1899340972314213E-2</v>
      </c>
      <c r="BH481" s="66"/>
      <c r="BI481" s="170"/>
      <c r="BJ481" s="66"/>
      <c r="BK481" s="66">
        <f t="shared" ref="BK481" si="1421">SUM(BA475:BA481)</f>
        <v>4260795</v>
      </c>
      <c r="BL481" s="66"/>
      <c r="BM481" s="144">
        <f t="shared" ref="BM481" si="1422">+Q481/BK481</f>
        <v>2.0343856017480306E-2</v>
      </c>
      <c r="BN481" s="65">
        <f t="shared" ref="BN481" si="1423">+BC481/BW481</f>
        <v>1076451.2966101696</v>
      </c>
      <c r="BO481" s="66"/>
      <c r="BP481" s="66">
        <f t="shared" ref="BP481" si="1424">+BP480+BE481</f>
        <v>33161598</v>
      </c>
      <c r="BQ481" s="66"/>
      <c r="BR481" s="435">
        <f t="shared" ref="BR481" si="1425">+BP481/BC481</f>
        <v>6.5267813883083017E-2</v>
      </c>
      <c r="BS481" s="66"/>
      <c r="BT481" s="75"/>
      <c r="BU481" s="170"/>
      <c r="BV481" s="1"/>
      <c r="BW481" s="61">
        <f t="shared" si="1175"/>
        <v>472</v>
      </c>
    </row>
    <row r="482" spans="2:75" x14ac:dyDescent="0.3">
      <c r="B482" s="158">
        <f t="shared" si="424"/>
        <v>44382</v>
      </c>
      <c r="C482" s="61"/>
      <c r="D482" s="17">
        <v>5132</v>
      </c>
      <c r="E482" s="16"/>
      <c r="F482" s="16"/>
      <c r="G482" s="16"/>
      <c r="H482" s="16">
        <f t="shared" ref="H482" si="1426">+H481+D482</f>
        <v>34073708</v>
      </c>
      <c r="I482" s="16"/>
      <c r="J482" s="436">
        <f t="shared" ref="J482" si="1427">+D482/H481</f>
        <v>1.5063734979706812E-4</v>
      </c>
      <c r="K482" s="16"/>
      <c r="L482" s="16"/>
      <c r="M482" s="16"/>
      <c r="N482" s="16">
        <f t="shared" ref="N482" si="1428">SUM(D476:D482)</f>
        <v>79831</v>
      </c>
      <c r="O482" s="16">
        <f t="shared" ref="O482" si="1429">+H482/BW482</f>
        <v>72037.437632135305</v>
      </c>
      <c r="P482" s="41"/>
      <c r="Q482" s="17">
        <f t="shared" ref="Q482" si="1430">SUM(D476:D482)</f>
        <v>79831</v>
      </c>
      <c r="R482" s="16"/>
      <c r="S482" s="60">
        <f t="shared" ref="S482" si="1431">+(Q482-Q475)/Q475</f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ref="Z482" si="1432">SUM(W477:W482)</f>
        <v>1073</v>
      </c>
      <c r="AA482" s="33">
        <f t="shared" ref="AA482" si="1433">+AA481+W482</f>
        <v>606219</v>
      </c>
      <c r="AB482" s="33"/>
      <c r="AC482" s="46">
        <f t="shared" ref="AC482" si="1434">+AA482/H482</f>
        <v>1.7791400924137755E-2</v>
      </c>
      <c r="AD482" s="33"/>
      <c r="AE482" s="33">
        <f t="shared" ref="AE482" si="1435">+AA482/BW482</f>
        <v>1281.6469344608879</v>
      </c>
      <c r="AF482" s="50"/>
      <c r="AG482" s="33">
        <f t="shared" ref="AG482" si="1436">SUM(W476:W482)</f>
        <v>1367</v>
      </c>
      <c r="AH482" s="33">
        <f t="shared" ref="AH482" si="1437">SUM(D453:D925)</f>
        <v>1122266051.060914</v>
      </c>
      <c r="AI482" s="213">
        <f t="shared" ref="AI482" si="1438">+(AG482-AG475)/AG475</f>
        <v>-0.29753340184994859</v>
      </c>
      <c r="AJ482" s="50"/>
      <c r="AK482" s="111"/>
      <c r="AL482" s="23">
        <f t="shared" ref="AL482" si="1439">+AP482-AP481</f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ref="AR482" si="1440">+AL482/AP481</f>
        <v>5.6673009791798512E-4</v>
      </c>
      <c r="AS482" s="25"/>
      <c r="AT482" s="25"/>
      <c r="AU482" s="24"/>
      <c r="AV482" s="298">
        <f t="shared" ref="AV482" si="1441">+AP482/H482</f>
        <v>0.85452290663522734</v>
      </c>
      <c r="AW482" s="298"/>
      <c r="AX482" s="24">
        <f t="shared" ref="AX482" si="1442">+AP482/BW482</f>
        <v>61557.64059196617</v>
      </c>
      <c r="AY482" s="308"/>
      <c r="AZ482" s="111"/>
      <c r="BA482" s="65">
        <f t="shared" ref="BA482" si="1443">+BC482-BC481</f>
        <v>380659</v>
      </c>
      <c r="BB482" s="66"/>
      <c r="BC482" s="66">
        <v>508465671</v>
      </c>
      <c r="BD482" s="66"/>
      <c r="BE482" s="66">
        <f t="shared" ref="BE482" si="1444">+D482</f>
        <v>5132</v>
      </c>
      <c r="BF482" s="66"/>
      <c r="BG482" s="144">
        <f t="shared" ref="BG482" si="1445">+BE482/BA482</f>
        <v>1.3481882734941247E-2</v>
      </c>
      <c r="BH482" s="66"/>
      <c r="BI482" s="170"/>
      <c r="BJ482" s="66"/>
      <c r="BK482" s="66">
        <f t="shared" ref="BK482" si="1446">SUM(BA476:BA482)</f>
        <v>3587598</v>
      </c>
      <c r="BL482" s="66"/>
      <c r="BM482" s="144">
        <f t="shared" ref="BM482" si="1447">+Q482/BK482</f>
        <v>2.2251935696251363E-2</v>
      </c>
      <c r="BN482" s="65">
        <f t="shared" ref="BN482" si="1448">+BC482/BW482</f>
        <v>1074980.2769556025</v>
      </c>
      <c r="BO482" s="66"/>
      <c r="BP482" s="66">
        <f t="shared" ref="BP482" si="1449">+BP481+BE482</f>
        <v>33166730</v>
      </c>
      <c r="BQ482" s="66"/>
      <c r="BR482" s="435">
        <f t="shared" ref="BR482" si="1450">+BP482/BC482</f>
        <v>6.5229044735254108E-2</v>
      </c>
      <c r="BS482" s="66"/>
      <c r="BT482" s="75"/>
      <c r="BU482" s="170"/>
      <c r="BV482" s="1"/>
      <c r="BW482" s="61">
        <f t="shared" si="1175"/>
        <v>473</v>
      </c>
    </row>
    <row r="483" spans="2:75" x14ac:dyDescent="0.3">
      <c r="B483" s="158">
        <f t="shared" si="424"/>
        <v>44383</v>
      </c>
      <c r="C483" s="61"/>
      <c r="D483" s="17">
        <v>11612</v>
      </c>
      <c r="E483" s="16"/>
      <c r="F483" s="16"/>
      <c r="G483" s="16"/>
      <c r="H483" s="16">
        <f t="shared" ref="H483" si="1451">+H482+D483</f>
        <v>34085320</v>
      </c>
      <c r="I483" s="16"/>
      <c r="J483" s="436">
        <f t="shared" ref="J483" si="1452">+D483/H482</f>
        <v>3.4079061779833294E-4</v>
      </c>
      <c r="K483" s="16"/>
      <c r="L483" s="16"/>
      <c r="M483" s="16"/>
      <c r="N483" s="16">
        <f t="shared" ref="N483" si="1453">SUM(D477:D483)</f>
        <v>80016</v>
      </c>
      <c r="O483" s="16">
        <f t="shared" ref="O483" si="1454">+H483/BW483</f>
        <v>71909.957805907179</v>
      </c>
      <c r="P483" s="41"/>
      <c r="Q483" s="17">
        <f t="shared" ref="Q483" si="1455">SUM(D477:D483)</f>
        <v>80016</v>
      </c>
      <c r="R483" s="16"/>
      <c r="S483" s="60">
        <f t="shared" ref="S483" si="1456">+(Q483-Q476)/Q476</f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ref="Z483" si="1457">SUM(W478:W483)</f>
        <v>1026</v>
      </c>
      <c r="AA483" s="33">
        <f t="shared" ref="AA483" si="1458">+AA482+W483</f>
        <v>606421</v>
      </c>
      <c r="AB483" s="33"/>
      <c r="AC483" s="46">
        <f t="shared" ref="AC483" si="1459">+AA483/H483</f>
        <v>1.7791266152114751E-2</v>
      </c>
      <c r="AD483" s="33"/>
      <c r="AE483" s="33">
        <f t="shared" ref="AE483" si="1460">+AA483/BW483</f>
        <v>1279.3691983122362</v>
      </c>
      <c r="AF483" s="50"/>
      <c r="AG483" s="33">
        <f t="shared" ref="AG483" si="1461">SUM(W477:W483)</f>
        <v>1275</v>
      </c>
      <c r="AH483" s="33">
        <f t="shared" ref="AH483" si="1462">SUM(D454:D926)</f>
        <v>1122259643.060914</v>
      </c>
      <c r="AI483" s="213">
        <f t="shared" ref="AI483" si="1463">+(AG483-AG476)/AG476</f>
        <v>-0.29519071310116085</v>
      </c>
      <c r="AJ483" s="50"/>
      <c r="AK483" s="111"/>
      <c r="AL483" s="23">
        <f t="shared" ref="AL483" si="1464">+AP483-AP482</f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ref="AR483" si="1465">+AL483/AP482</f>
        <v>9.7953879764935419E-4</v>
      </c>
      <c r="AS483" s="25"/>
      <c r="AT483" s="25"/>
      <c r="AU483" s="24"/>
      <c r="AV483" s="298">
        <f t="shared" ref="AV483" si="1466">+AP483/H483</f>
        <v>0.85506854563782886</v>
      </c>
      <c r="AW483" s="298"/>
      <c r="AX483" s="24">
        <f t="shared" ref="AX483" si="1467">+AP483/BW483</f>
        <v>61487.943037974685</v>
      </c>
      <c r="AY483" s="308"/>
      <c r="AZ483" s="111"/>
      <c r="BA483" s="65">
        <f t="shared" ref="BA483" si="1468">+BC483-BC482</f>
        <v>750932</v>
      </c>
      <c r="BB483" s="66"/>
      <c r="BC483" s="66">
        <v>509216603</v>
      </c>
      <c r="BD483" s="66"/>
      <c r="BE483" s="66">
        <f t="shared" ref="BE483" si="1469">+D483</f>
        <v>11612</v>
      </c>
      <c r="BF483" s="66"/>
      <c r="BG483" s="144">
        <f t="shared" ref="BG483" si="1470">+BE483/BA483</f>
        <v>1.5463450751865681E-2</v>
      </c>
      <c r="BH483" s="66"/>
      <c r="BI483" s="170"/>
      <c r="BJ483" s="66"/>
      <c r="BK483" s="66">
        <f t="shared" ref="BK483" si="1471">SUM(BA477:BA483)</f>
        <v>3824004</v>
      </c>
      <c r="BL483" s="66"/>
      <c r="BM483" s="144">
        <f t="shared" ref="BM483" si="1472">+Q483/BK483</f>
        <v>2.0924664304744451E-2</v>
      </c>
      <c r="BN483" s="65">
        <f t="shared" ref="BN483" si="1473">+BC483/BW483</f>
        <v>1074296.6308016877</v>
      </c>
      <c r="BO483" s="66"/>
      <c r="BP483" s="66">
        <f t="shared" ref="BP483" si="1474">+BP482+BE483</f>
        <v>33178342</v>
      </c>
      <c r="BQ483" s="66"/>
      <c r="BR483" s="435">
        <f t="shared" ref="BR483" si="1475">+BP483/BC483</f>
        <v>6.5155656364173975E-2</v>
      </c>
      <c r="BS483" s="66"/>
      <c r="BT483" s="75"/>
      <c r="BU483" s="170"/>
      <c r="BV483" s="1"/>
      <c r="BW483" s="61">
        <f t="shared" si="1175"/>
        <v>474</v>
      </c>
    </row>
    <row r="484" spans="2:75" x14ac:dyDescent="0.3">
      <c r="B484" s="158">
        <f t="shared" si="424"/>
        <v>44384</v>
      </c>
      <c r="C484" s="61"/>
      <c r="D484" s="17">
        <v>16812</v>
      </c>
      <c r="E484" s="16"/>
      <c r="F484" s="16"/>
      <c r="G484" s="16"/>
      <c r="H484" s="16">
        <f t="shared" ref="H484" si="1476">+H483+D484</f>
        <v>34102132</v>
      </c>
      <c r="I484" s="16"/>
      <c r="J484" s="436">
        <f t="shared" ref="J484" si="1477">+D484/H483</f>
        <v>4.9323286388392427E-4</v>
      </c>
      <c r="K484" s="16"/>
      <c r="L484" s="16"/>
      <c r="M484" s="16"/>
      <c r="N484" s="16">
        <f t="shared" ref="N484" si="1478">SUM(D478:D484)</f>
        <v>82631</v>
      </c>
      <c r="O484" s="16">
        <f t="shared" ref="O484" si="1479">+H484/BW484</f>
        <v>71793.962105263156</v>
      </c>
      <c r="P484" s="41"/>
      <c r="Q484" s="17">
        <f t="shared" ref="Q484" si="1480">SUM(D478:D484)</f>
        <v>82631</v>
      </c>
      <c r="R484" s="16"/>
      <c r="S484" s="60">
        <f t="shared" ref="S484" si="1481">+(Q484-Q477)/Q477</f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ref="Z484" si="1482">SUM(W479:W484)</f>
        <v>962</v>
      </c>
      <c r="AA484" s="33">
        <f t="shared" ref="AA484" si="1483">+AA483+W484</f>
        <v>606672</v>
      </c>
      <c r="AB484" s="33"/>
      <c r="AC484" s="46">
        <f t="shared" ref="AC484" si="1484">+AA484/H484</f>
        <v>1.7789855484695208E-2</v>
      </c>
      <c r="AD484" s="33"/>
      <c r="AE484" s="33">
        <f t="shared" ref="AE484" si="1485">+AA484/BW484</f>
        <v>1277.2042105263158</v>
      </c>
      <c r="AF484" s="50"/>
      <c r="AG484" s="33">
        <f t="shared" ref="AG484" si="1486">SUM(W478:W484)</f>
        <v>1277</v>
      </c>
      <c r="AH484" s="33">
        <f t="shared" ref="AH484" si="1487">SUM(D455:D927)</f>
        <v>1122247360.060914</v>
      </c>
      <c r="AI484" s="213">
        <f t="shared" ref="AI484" si="1488">+(AG484-AG477)/AG477</f>
        <v>-0.26142278773857719</v>
      </c>
      <c r="AJ484" s="50"/>
      <c r="AK484" s="111"/>
      <c r="AL484" s="23">
        <f t="shared" ref="AL484" si="1489">+AP484-AP483</f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ref="AR484" si="1490">+AL484/AP483</f>
        <v>7.9011064739974233E-4</v>
      </c>
      <c r="AS484" s="25"/>
      <c r="AT484" s="25"/>
      <c r="AU484" s="24"/>
      <c r="AV484" s="298">
        <f t="shared" ref="AV484" si="1491">+AP484/H484</f>
        <v>0.85532227134655392</v>
      </c>
      <c r="AW484" s="298"/>
      <c r="AX484" s="24">
        <f t="shared" ref="AX484" si="1492">+AP484/BW484</f>
        <v>61406.974736842109</v>
      </c>
      <c r="AY484" s="308"/>
      <c r="AZ484" s="111"/>
      <c r="BA484" s="65">
        <f t="shared" ref="BA484" si="1493">+BC484-BC483</f>
        <v>486270</v>
      </c>
      <c r="BB484" s="66"/>
      <c r="BC484" s="66">
        <v>509702873</v>
      </c>
      <c r="BD484" s="66"/>
      <c r="BE484" s="66">
        <f t="shared" ref="BE484" si="1494">+D484</f>
        <v>16812</v>
      </c>
      <c r="BF484" s="66"/>
      <c r="BG484" s="144">
        <f t="shared" ref="BG484" si="1495">+BE484/BA484</f>
        <v>3.4573385156394597E-2</v>
      </c>
      <c r="BH484" s="66"/>
      <c r="BI484" s="170"/>
      <c r="BJ484" s="66"/>
      <c r="BK484" s="66">
        <f t="shared" ref="BK484" si="1496">SUM(BA478:BA484)</f>
        <v>3543745</v>
      </c>
      <c r="BL484" s="66"/>
      <c r="BM484" s="144">
        <f t="shared" ref="BM484" si="1497">+Q484/BK484</f>
        <v>2.3317422670084895E-2</v>
      </c>
      <c r="BN484" s="65">
        <f t="shared" ref="BN484" si="1498">+BC484/BW484</f>
        <v>1073058.68</v>
      </c>
      <c r="BO484" s="66"/>
      <c r="BP484" s="66">
        <f t="shared" ref="BP484" si="1499">+BP483+BE484</f>
        <v>33195154</v>
      </c>
      <c r="BQ484" s="66"/>
      <c r="BR484" s="435">
        <f t="shared" ref="BR484" si="1500">+BP484/BC484</f>
        <v>6.5126480069889664E-2</v>
      </c>
      <c r="BS484" s="66"/>
      <c r="BT484" s="75"/>
      <c r="BU484" s="170"/>
      <c r="BV484" s="1"/>
      <c r="BW484" s="61">
        <f t="shared" si="1175"/>
        <v>475</v>
      </c>
    </row>
    <row r="485" spans="2:75" x14ac:dyDescent="0.3">
      <c r="B485" s="158">
        <f t="shared" si="424"/>
        <v>44385</v>
      </c>
      <c r="C485" s="61"/>
      <c r="D485" s="17">
        <v>19347</v>
      </c>
      <c r="E485" s="16"/>
      <c r="F485" s="16"/>
      <c r="G485" s="16"/>
      <c r="H485" s="16">
        <f t="shared" ref="H485" si="1501">+H484+D485</f>
        <v>34121479</v>
      </c>
      <c r="I485" s="16"/>
      <c r="J485" s="436">
        <f t="shared" ref="J485" si="1502">+D485/H484</f>
        <v>5.6732523350739477E-4</v>
      </c>
      <c r="K485" s="16"/>
      <c r="L485" s="16"/>
      <c r="M485" s="16"/>
      <c r="N485" s="16">
        <f t="shared" ref="N485" si="1503">SUM(D479:D485)</f>
        <v>85029</v>
      </c>
      <c r="O485" s="16">
        <f t="shared" ref="O485" si="1504">+H485/BW485</f>
        <v>71683.779411764699</v>
      </c>
      <c r="P485" s="41"/>
      <c r="Q485" s="17">
        <f t="shared" ref="Q485" si="1505">SUM(D479:D485)</f>
        <v>85029</v>
      </c>
      <c r="R485" s="16"/>
      <c r="S485" s="60">
        <f t="shared" ref="S485" si="1506">+(Q485-Q478)/Q478</f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ref="Z485" si="1507">SUM(W480:W485)</f>
        <v>901</v>
      </c>
      <c r="AA485" s="33">
        <f t="shared" ref="AA485" si="1508">+AA484+W485</f>
        <v>606933</v>
      </c>
      <c r="AB485" s="33"/>
      <c r="AC485" s="46">
        <f t="shared" ref="AC485" si="1509">+AA485/H485</f>
        <v>1.7787417714220419E-2</v>
      </c>
      <c r="AD485" s="33"/>
      <c r="AE485" s="33">
        <f t="shared" ref="AE485" si="1510">+AA485/BW485</f>
        <v>1275.0693277310925</v>
      </c>
      <c r="AF485" s="50"/>
      <c r="AG485" s="33">
        <f t="shared" ref="AG485" si="1511">SUM(W479:W485)</f>
        <v>1223</v>
      </c>
      <c r="AH485" s="33">
        <f t="shared" ref="AH485" si="1512">SUM(D456:D928)</f>
        <v>1122233818.060914</v>
      </c>
      <c r="AI485" s="213">
        <f t="shared" ref="AI485" si="1513">+(AG485-AG478)/AG478</f>
        <v>-0.26502403846153844</v>
      </c>
      <c r="AJ485" s="50"/>
      <c r="AK485" s="111"/>
      <c r="AL485" s="23">
        <f t="shared" ref="AL485" si="1514">+AP485-AP484</f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ref="AR485" si="1515">+AL485/AP484</f>
        <v>1.1997608500704171E-3</v>
      </c>
      <c r="AS485" s="25"/>
      <c r="AT485" s="25"/>
      <c r="AU485" s="24"/>
      <c r="AV485" s="298">
        <f t="shared" ref="AV485" si="1516">+AP485/H485</f>
        <v>0.85586290090180439</v>
      </c>
      <c r="AW485" s="298"/>
      <c r="AX485" s="24">
        <f t="shared" ref="AX485" si="1517">+AP485/BW485</f>
        <v>61351.487394957985</v>
      </c>
      <c r="AY485" s="308"/>
      <c r="AZ485" s="111"/>
      <c r="BA485" s="65">
        <f t="shared" ref="BA485" si="1518">+BC485-BC484</f>
        <v>777468</v>
      </c>
      <c r="BB485" s="66"/>
      <c r="BC485" s="66">
        <v>510480341</v>
      </c>
      <c r="BD485" s="66"/>
      <c r="BE485" s="66">
        <f t="shared" ref="BE485" si="1519">+D485</f>
        <v>19347</v>
      </c>
      <c r="BF485" s="66"/>
      <c r="BG485" s="144">
        <f t="shared" ref="BG485" si="1520">+BE485/BA485</f>
        <v>2.4884625476546945E-2</v>
      </c>
      <c r="BH485" s="66"/>
      <c r="BI485" s="170"/>
      <c r="BJ485" s="66"/>
      <c r="BK485" s="66">
        <f t="shared" ref="BK485" si="1521">SUM(BA479:BA485)</f>
        <v>3875729</v>
      </c>
      <c r="BL485" s="66"/>
      <c r="BM485" s="144">
        <f t="shared" ref="BM485" si="1522">+Q485/BK485</f>
        <v>2.193884040912045E-2</v>
      </c>
      <c r="BN485" s="65">
        <f t="shared" ref="BN485" si="1523">+BC485/BW485</f>
        <v>1072437.6911764706</v>
      </c>
      <c r="BO485" s="66"/>
      <c r="BP485" s="66">
        <f t="shared" ref="BP485" si="1524">+BP484+BE485</f>
        <v>33214501</v>
      </c>
      <c r="BQ485" s="66"/>
      <c r="BR485" s="435">
        <f t="shared" ref="BR485" si="1525">+BP485/BC485</f>
        <v>6.5065191217618307E-2</v>
      </c>
      <c r="BS485" s="66"/>
      <c r="BT485" s="75"/>
      <c r="BU485" s="170"/>
      <c r="BV485" s="1"/>
      <c r="BW485" s="61">
        <f t="shared" si="1175"/>
        <v>476</v>
      </c>
    </row>
    <row r="486" spans="2:75" x14ac:dyDescent="0.3">
      <c r="B486" s="158">
        <f t="shared" si="424"/>
        <v>44386</v>
      </c>
      <c r="C486" s="61"/>
      <c r="D486" s="17">
        <v>27237</v>
      </c>
      <c r="E486" s="16"/>
      <c r="F486" s="16"/>
      <c r="G486" s="16"/>
      <c r="H486" s="16">
        <f t="shared" ref="H486" si="1526">+H485+D486</f>
        <v>34148716</v>
      </c>
      <c r="I486" s="16"/>
      <c r="J486" s="436">
        <f t="shared" ref="J486" si="1527">+D486/H485</f>
        <v>7.9823620775641051E-4</v>
      </c>
      <c r="K486" s="16"/>
      <c r="L486" s="16"/>
      <c r="M486" s="16"/>
      <c r="N486" s="16">
        <f t="shared" ref="N486" si="1528">SUM(D480:D486)</f>
        <v>93867</v>
      </c>
      <c r="O486" s="16">
        <f t="shared" ref="O486" si="1529">+H486/BW486</f>
        <v>71590.599580712791</v>
      </c>
      <c r="P486" s="41"/>
      <c r="Q486" s="17">
        <f t="shared" ref="Q486" si="1530">SUM(D480:D486)</f>
        <v>93867</v>
      </c>
      <c r="R486" s="16"/>
      <c r="S486" s="60">
        <f t="shared" ref="S486" si="1531">+(Q486-Q479)/Q479</f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ref="Z486" si="1532">SUM(W481:W486)</f>
        <v>1171</v>
      </c>
      <c r="AA486" s="33">
        <f t="shared" ref="AA486" si="1533">+AA485+W486</f>
        <v>607299</v>
      </c>
      <c r="AB486" s="33"/>
      <c r="AC486" s="46">
        <f t="shared" ref="AC486" si="1534">+AA486/H486</f>
        <v>1.7783948304234923E-2</v>
      </c>
      <c r="AD486" s="33"/>
      <c r="AE486" s="33">
        <f t="shared" ref="AE486" si="1535">+AA486/BW486</f>
        <v>1273.1635220125786</v>
      </c>
      <c r="AF486" s="50"/>
      <c r="AG486" s="33">
        <f t="shared" ref="AG486" si="1536">SUM(W480:W486)</f>
        <v>1267</v>
      </c>
      <c r="AH486" s="33">
        <f t="shared" ref="AH486" si="1537">SUM(D457:D929)</f>
        <v>1122219617.060914</v>
      </c>
      <c r="AI486" s="213">
        <f t="shared" ref="AI486" si="1538">+(AG486-AG479)/AG479</f>
        <v>-0.20762976860537835</v>
      </c>
      <c r="AJ486" s="50"/>
      <c r="AK486" s="111"/>
      <c r="AL486" s="23">
        <f t="shared" ref="AL486" si="1539">+AP486-AP485</f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ref="AR486" si="1540">+AL486/AP485</f>
        <v>6.7334837546486172E-4</v>
      </c>
      <c r="AS486" s="25"/>
      <c r="AT486" s="25"/>
      <c r="AU486" s="24"/>
      <c r="AV486" s="298">
        <f t="shared" ref="AV486" si="1541">+AP486/H486</f>
        <v>0.8557560992922838</v>
      </c>
      <c r="AW486" s="298"/>
      <c r="AX486" s="24">
        <f t="shared" ref="AX486" si="1542">+AP486/BW486</f>
        <v>61264.092243186584</v>
      </c>
      <c r="AY486" s="308"/>
      <c r="AZ486" s="111"/>
      <c r="BA486" s="65">
        <f t="shared" ref="BA486" si="1543">+BC486-BC485</f>
        <v>947663</v>
      </c>
      <c r="BB486" s="66"/>
      <c r="BC486" s="66">
        <v>511428004</v>
      </c>
      <c r="BD486" s="66"/>
      <c r="BE486" s="66">
        <f t="shared" ref="BE486" si="1544">+D486</f>
        <v>27237</v>
      </c>
      <c r="BF486" s="66"/>
      <c r="BG486" s="144">
        <f t="shared" ref="BG486" si="1545">+BE486/BA486</f>
        <v>2.8741229740952216E-2</v>
      </c>
      <c r="BH486" s="66"/>
      <c r="BI486" s="170"/>
      <c r="BJ486" s="66"/>
      <c r="BK486" s="66">
        <f t="shared" ref="BK486" si="1546">SUM(BA480:BA486)</f>
        <v>4081419</v>
      </c>
      <c r="BL486" s="66"/>
      <c r="BM486" s="144">
        <f t="shared" ref="BM486" si="1547">+Q486/BK486</f>
        <v>2.2998618862704368E-2</v>
      </c>
      <c r="BN486" s="65">
        <f t="shared" ref="BN486" si="1548">+BC486/BW486</f>
        <v>1072176.109014675</v>
      </c>
      <c r="BO486" s="66"/>
      <c r="BP486" s="66">
        <f t="shared" ref="BP486" si="1549">+BP485+BE486</f>
        <v>33241738</v>
      </c>
      <c r="BQ486" s="66"/>
      <c r="BR486" s="435">
        <f t="shared" ref="BR486" si="1550">+BP486/BC486</f>
        <v>6.4997883846814139E-2</v>
      </c>
      <c r="BS486" s="66"/>
      <c r="BT486" s="75"/>
      <c r="BU486" s="170"/>
      <c r="BV486" s="1"/>
      <c r="BW486" s="61">
        <f t="shared" si="1175"/>
        <v>477</v>
      </c>
    </row>
    <row r="487" spans="2:75" x14ac:dyDescent="0.3">
      <c r="B487" s="158">
        <f t="shared" si="424"/>
        <v>44387</v>
      </c>
      <c r="C487" s="61"/>
      <c r="D487" s="17">
        <v>14535</v>
      </c>
      <c r="E487" s="16"/>
      <c r="F487" s="16"/>
      <c r="G487" s="16"/>
      <c r="H487" s="16">
        <f t="shared" ref="H487" si="1551">+H486+D487</f>
        <v>34163251</v>
      </c>
      <c r="I487" s="16"/>
      <c r="J487" s="436">
        <f t="shared" ref="J487" si="1552">+D487/H486</f>
        <v>4.2563825825837784E-4</v>
      </c>
      <c r="K487" s="16"/>
      <c r="L487" s="16"/>
      <c r="M487" s="16"/>
      <c r="N487" s="16">
        <f t="shared" ref="N487" si="1553">SUM(D481:D487)</f>
        <v>100424</v>
      </c>
      <c r="O487" s="16">
        <f t="shared" ref="O487" si="1554">+H487/BW487</f>
        <v>71471.236401673639</v>
      </c>
      <c r="P487" s="41"/>
      <c r="Q487" s="17">
        <f t="shared" ref="Q487" si="1555">SUM(D481:D487)</f>
        <v>100424</v>
      </c>
      <c r="R487" s="16"/>
      <c r="S487" s="60">
        <f t="shared" ref="S487" si="1556">+(Q487-Q480)/Q480</f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ref="Z487" si="1557">SUM(W482:W487)</f>
        <v>1234</v>
      </c>
      <c r="AA487" s="33">
        <f t="shared" ref="AA487" si="1558">+AA486+W487</f>
        <v>607417</v>
      </c>
      <c r="AB487" s="33"/>
      <c r="AC487" s="46">
        <f t="shared" ref="AC487" si="1559">+AA487/H487</f>
        <v>1.7779835999799903E-2</v>
      </c>
      <c r="AD487" s="33"/>
      <c r="AE487" s="33">
        <f t="shared" ref="AE487" si="1560">+AA487/BW487</f>
        <v>1270.7468619246863</v>
      </c>
      <c r="AF487" s="50"/>
      <c r="AG487" s="33">
        <f t="shared" ref="AG487" si="1561">SUM(W481:W487)</f>
        <v>1289</v>
      </c>
      <c r="AH487" s="33">
        <f t="shared" ref="AH487" si="1562">SUM(D458:D930)</f>
        <v>1122202853.060914</v>
      </c>
      <c r="AI487" s="213">
        <f t="shared" ref="AI487" si="1563">+(AG487-AG480)/AG480</f>
        <v>-0.16623544631306597</v>
      </c>
      <c r="AJ487" s="50"/>
      <c r="AK487" s="111"/>
      <c r="AL487" s="23">
        <f t="shared" ref="AL487" si="1564">+AP487-AP486</f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ref="AR487" si="1565">+AL487/AP486</f>
        <v>4.091986263409485E-4</v>
      </c>
      <c r="AS487" s="25"/>
      <c r="AT487" s="25"/>
      <c r="AU487" s="24"/>
      <c r="AV487" s="298">
        <f t="shared" ref="AV487" si="1566">+AP487/H487</f>
        <v>0.85574203696246587</v>
      </c>
      <c r="AW487" s="298"/>
      <c r="AX487" s="24">
        <f t="shared" ref="AX487" si="1567">+AP487/BW487</f>
        <v>61160.941422594144</v>
      </c>
      <c r="AY487" s="308"/>
      <c r="AZ487" s="111"/>
      <c r="BA487" s="65">
        <f t="shared" ref="BA487" si="1568">+BC487-BC486</f>
        <v>242661</v>
      </c>
      <c r="BB487" s="66"/>
      <c r="BC487" s="66">
        <v>511670665</v>
      </c>
      <c r="BD487" s="66"/>
      <c r="BE487" s="66">
        <f t="shared" ref="BE487" si="1569">+D487</f>
        <v>14535</v>
      </c>
      <c r="BF487" s="66"/>
      <c r="BG487" s="144">
        <f t="shared" ref="BG487" si="1570">+BE487/BA487</f>
        <v>5.9898376747808672E-2</v>
      </c>
      <c r="BH487" s="66"/>
      <c r="BI487" s="170"/>
      <c r="BJ487" s="66"/>
      <c r="BK487" s="66">
        <f t="shared" ref="BK487" si="1571">SUM(BA481:BA487)</f>
        <v>4068789</v>
      </c>
      <c r="BL487" s="66"/>
      <c r="BM487" s="144">
        <f t="shared" ref="BM487" si="1572">+Q487/BK487</f>
        <v>2.4681545295172594E-2</v>
      </c>
      <c r="BN487" s="65">
        <f t="shared" ref="BN487" si="1573">+BC487/BW487</f>
        <v>1070440.7217573221</v>
      </c>
      <c r="BO487" s="66"/>
      <c r="BP487" s="66">
        <f t="shared" ref="BP487" si="1574">+BP486+BE487</f>
        <v>33256273</v>
      </c>
      <c r="BQ487" s="66"/>
      <c r="BR487" s="435">
        <f t="shared" ref="BR487" si="1575">+BP487/BC487</f>
        <v>6.4995465393741111E-2</v>
      </c>
      <c r="BS487" s="66"/>
      <c r="BT487" s="75"/>
      <c r="BU487" s="170"/>
      <c r="BV487" s="1"/>
      <c r="BW487" s="61">
        <f t="shared" si="1175"/>
        <v>478</v>
      </c>
    </row>
    <row r="488" spans="2:75" x14ac:dyDescent="0.3">
      <c r="B488" s="347">
        <f t="shared" si="424"/>
        <v>44388</v>
      </c>
      <c r="C488" s="61"/>
      <c r="D488" s="17">
        <v>6642</v>
      </c>
      <c r="E488" s="16"/>
      <c r="F488" s="16"/>
      <c r="G488" s="16"/>
      <c r="H488" s="16">
        <f t="shared" ref="H488" si="1576">+H487+D488</f>
        <v>34169893</v>
      </c>
      <c r="I488" s="16"/>
      <c r="J488" s="436">
        <f t="shared" ref="J488" si="1577">+D488/H487</f>
        <v>1.9441943625330037E-4</v>
      </c>
      <c r="K488" s="16"/>
      <c r="L488" s="16"/>
      <c r="M488" s="16"/>
      <c r="N488" s="16">
        <f t="shared" ref="N488" si="1578">SUM(D482:D488)</f>
        <v>101317</v>
      </c>
      <c r="O488" s="16">
        <f t="shared" ref="O488" si="1579">+H488/BW488</f>
        <v>71335.893528183718</v>
      </c>
      <c r="P488" s="41"/>
      <c r="Q488" s="17">
        <f t="shared" ref="Q488" si="1580">SUM(D482:D488)</f>
        <v>101317</v>
      </c>
      <c r="R488" s="16"/>
      <c r="S488" s="60">
        <f t="shared" ref="S488" si="1581">+(Q488-Q481)/Q481</f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ref="Z488" si="1582">SUM(W483:W488)</f>
        <v>1225</v>
      </c>
      <c r="AA488" s="33">
        <f t="shared" ref="AA488" si="1583">+AA487+W488</f>
        <v>607444</v>
      </c>
      <c r="AB488" s="33"/>
      <c r="AC488" s="46">
        <f t="shared" ref="AC488" si="1584">+AA488/H488</f>
        <v>1.777717009532339E-2</v>
      </c>
      <c r="AD488" s="33"/>
      <c r="AE488" s="33">
        <f t="shared" ref="AE488" si="1585">+AA488/BW488</f>
        <v>1268.1503131524009</v>
      </c>
      <c r="AF488" s="50"/>
      <c r="AG488" s="33">
        <f t="shared" ref="AG488" si="1586">SUM(W482:W488)</f>
        <v>1261</v>
      </c>
      <c r="AH488" s="33">
        <f t="shared" ref="AH488" si="1587">SUM(D459:D931)</f>
        <v>1122186708.060914</v>
      </c>
      <c r="AI488" s="213">
        <f t="shared" ref="AI488" si="1588">+(AG488-AG481)/AG481</f>
        <v>-0.15652173913043479</v>
      </c>
      <c r="AJ488" s="50"/>
      <c r="AK488" s="111"/>
      <c r="AL488" s="23">
        <f t="shared" ref="AL488" si="1589">+AP488-AP487</f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ref="AR488" si="1590">+AL488/AP487</f>
        <v>3.1376849542653256E-4</v>
      </c>
      <c r="AS488" s="25"/>
      <c r="AT488" s="25"/>
      <c r="AU488" s="24"/>
      <c r="AV488" s="298">
        <f t="shared" ref="AV488" si="1591">+AP488/H488</f>
        <v>0.85584414911688489</v>
      </c>
      <c r="AW488" s="298"/>
      <c r="AX488" s="24">
        <f t="shared" ref="AX488" si="1592">+AP488/BW488</f>
        <v>61052.407098121083</v>
      </c>
      <c r="AY488" s="308"/>
      <c r="AZ488" s="111"/>
      <c r="BA488" s="65">
        <f t="shared" ref="BA488" si="1593">+BC488-BC487</f>
        <v>134862</v>
      </c>
      <c r="BB488" s="66"/>
      <c r="BC488" s="66">
        <v>511805527</v>
      </c>
      <c r="BD488" s="66"/>
      <c r="BE488" s="66">
        <f t="shared" ref="BE488" si="1594">+D488</f>
        <v>6642</v>
      </c>
      <c r="BF488" s="66"/>
      <c r="BG488" s="144">
        <f t="shared" ref="BG488" si="1595">+BE488/BA488</f>
        <v>4.9250344796903503E-2</v>
      </c>
      <c r="BH488" s="66"/>
      <c r="BI488" s="170"/>
      <c r="BJ488" s="66"/>
      <c r="BK488" s="66">
        <f t="shared" ref="BK488" si="1596">SUM(BA482:BA488)</f>
        <v>3720515</v>
      </c>
      <c r="BL488" s="66"/>
      <c r="BM488" s="144">
        <f t="shared" ref="BM488" si="1597">+Q488/BK488</f>
        <v>2.7231982669065975E-2</v>
      </c>
      <c r="BN488" s="65">
        <f t="shared" ref="BN488" si="1598">+BC488/BW488</f>
        <v>1068487.5302713988</v>
      </c>
      <c r="BO488" s="66"/>
      <c r="BP488" s="66">
        <f t="shared" ref="BP488" si="1599">+BP487+BE488</f>
        <v>33262915</v>
      </c>
      <c r="BQ488" s="66"/>
      <c r="BR488" s="435">
        <f t="shared" ref="BR488" si="1600">+BP488/BC488</f>
        <v>6.4991316516204795E-2</v>
      </c>
      <c r="BS488" s="66"/>
      <c r="BT488" s="75"/>
      <c r="BU488" s="170"/>
      <c r="BV488" s="1"/>
      <c r="BW488" s="61">
        <f t="shared" si="1175"/>
        <v>479</v>
      </c>
    </row>
    <row r="489" spans="2:75" x14ac:dyDescent="0.3">
      <c r="B489" s="158">
        <f t="shared" si="424"/>
        <v>44389</v>
      </c>
      <c r="C489" s="61"/>
      <c r="D489" s="17">
        <v>19996</v>
      </c>
      <c r="E489" s="16"/>
      <c r="F489" s="16"/>
      <c r="G489" s="16"/>
      <c r="H489" s="16">
        <f t="shared" ref="H489" si="1601">+H488+D489</f>
        <v>34189889</v>
      </c>
      <c r="I489" s="16"/>
      <c r="J489" s="436">
        <f t="shared" ref="J489" si="1602">+D489/H488</f>
        <v>5.8519352109179853E-4</v>
      </c>
      <c r="K489" s="16"/>
      <c r="L489" s="16"/>
      <c r="M489" s="16"/>
      <c r="N489" s="16">
        <f t="shared" ref="N489" si="1603">SUM(D483:D489)</f>
        <v>116181</v>
      </c>
      <c r="O489" s="16">
        <f t="shared" ref="O489" si="1604">+H489/BW489</f>
        <v>71228.93541666666</v>
      </c>
      <c r="P489" s="41"/>
      <c r="Q489" s="17">
        <f t="shared" ref="Q489" si="1605">SUM(D483:D489)</f>
        <v>116181</v>
      </c>
      <c r="R489" s="16"/>
      <c r="S489" s="60">
        <f t="shared" ref="S489" si="1606">+(Q489-Q482)/Q482</f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ref="Z489" si="1607">SUM(W484:W489)</f>
        <v>1186</v>
      </c>
      <c r="AA489" s="33">
        <f t="shared" ref="AA489" si="1608">+AA488+W489</f>
        <v>607607</v>
      </c>
      <c r="AB489" s="33"/>
      <c r="AC489" s="46">
        <f t="shared" ref="AC489" si="1609">+AA489/H489</f>
        <v>1.7771540586165695E-2</v>
      </c>
      <c r="AD489" s="33"/>
      <c r="AE489" s="33">
        <f t="shared" ref="AE489" si="1610">+AA489/BW489</f>
        <v>1265.8479166666666</v>
      </c>
      <c r="AF489" s="50"/>
      <c r="AG489" s="33">
        <f t="shared" ref="AG489" si="1611">SUM(W483:W489)</f>
        <v>1388</v>
      </c>
      <c r="AH489" s="33">
        <f t="shared" ref="AH489" si="1612">SUM(D460:D932)</f>
        <v>1122177281.060914</v>
      </c>
      <c r="AI489" s="213">
        <f t="shared" ref="AI489" si="1613">+(AG489-AG482)/AG482</f>
        <v>1.5362106803218726E-2</v>
      </c>
      <c r="AJ489" s="50"/>
      <c r="AK489" s="111"/>
      <c r="AL489" s="23">
        <f t="shared" ref="AL489" si="1614">+AP489-AP488</f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ref="AR489" si="1615">+AL489/AP488</f>
        <v>1.2838143813130463E-3</v>
      </c>
      <c r="AS489" s="25"/>
      <c r="AT489" s="25"/>
      <c r="AU489" s="24"/>
      <c r="AV489" s="298">
        <f t="shared" ref="AV489" si="1616">+AP489/H489</f>
        <v>0.85644171000379676</v>
      </c>
      <c r="AW489" s="298"/>
      <c r="AX489" s="24">
        <f t="shared" ref="AX489" si="1617">+AP489/BW489</f>
        <v>61003.431250000001</v>
      </c>
      <c r="AY489" s="308"/>
      <c r="AZ489" s="111"/>
      <c r="BA489" s="65">
        <f t="shared" ref="BA489" si="1618">+BC489-BC488</f>
        <v>1358363</v>
      </c>
      <c r="BB489" s="66"/>
      <c r="BC489" s="66">
        <v>513163890</v>
      </c>
      <c r="BD489" s="66"/>
      <c r="BE489" s="66">
        <f t="shared" ref="BE489" si="1619">+D489</f>
        <v>19996</v>
      </c>
      <c r="BF489" s="66"/>
      <c r="BG489" s="144">
        <f t="shared" ref="BG489" si="1620">+BE489/BA489</f>
        <v>1.4720660088650825E-2</v>
      </c>
      <c r="BH489" s="66"/>
      <c r="BI489" s="170"/>
      <c r="BJ489" s="66"/>
      <c r="BK489" s="66">
        <f t="shared" ref="BK489" si="1621">SUM(BA483:BA489)</f>
        <v>4698219</v>
      </c>
      <c r="BL489" s="66"/>
      <c r="BM489" s="144">
        <f t="shared" ref="BM489" si="1622">+Q489/BK489</f>
        <v>2.4728732313244656E-2</v>
      </c>
      <c r="BN489" s="65">
        <f t="shared" ref="BN489" si="1623">+BC489/BW489</f>
        <v>1069091.4375</v>
      </c>
      <c r="BO489" s="66"/>
      <c r="BP489" s="66">
        <f t="shared" ref="BP489" si="1624">+BP488+BE489</f>
        <v>33282911</v>
      </c>
      <c r="BQ489" s="66"/>
      <c r="BR489" s="435">
        <f t="shared" ref="BR489" si="1625">+BP489/BC489</f>
        <v>6.4858248307377978E-2</v>
      </c>
      <c r="BS489" s="66"/>
      <c r="BT489" s="75"/>
      <c r="BU489" s="170"/>
      <c r="BV489" s="1"/>
      <c r="BW489" s="61">
        <f t="shared" si="1175"/>
        <v>480</v>
      </c>
    </row>
    <row r="490" spans="2:75" x14ac:dyDescent="0.3">
      <c r="B490" s="158">
        <f t="shared" si="424"/>
        <v>44390</v>
      </c>
      <c r="C490" s="61"/>
      <c r="D490" s="17">
        <v>39754</v>
      </c>
      <c r="E490" s="16"/>
      <c r="F490" s="16"/>
      <c r="G490" s="16"/>
      <c r="H490" s="16">
        <f t="shared" ref="H490" si="1626">+H489+D490</f>
        <v>34229643</v>
      </c>
      <c r="I490" s="16"/>
      <c r="J490" s="436">
        <f t="shared" ref="J490" si="1627">+D490/H489</f>
        <v>1.1627414174991912E-3</v>
      </c>
      <c r="K490" s="16"/>
      <c r="L490" s="16"/>
      <c r="M490" s="16"/>
      <c r="N490" s="16">
        <f t="shared" ref="N490" si="1628">SUM(D484:D490)</f>
        <v>144323</v>
      </c>
      <c r="O490" s="16">
        <f t="shared" ref="O490" si="1629">+H490/BW490</f>
        <v>71163.498960498953</v>
      </c>
      <c r="P490" s="41"/>
      <c r="Q490" s="17">
        <f t="shared" ref="Q490" si="1630">SUM(D484:D490)</f>
        <v>144323</v>
      </c>
      <c r="R490" s="16"/>
      <c r="S490" s="60">
        <f t="shared" ref="S490" si="1631">+(Q490-Q483)/Q483</f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ref="Z490" si="1632">SUM(W485:W490)</f>
        <v>1106</v>
      </c>
      <c r="AA490" s="33">
        <f t="shared" ref="AA490" si="1633">+AA489+W490</f>
        <v>607778</v>
      </c>
      <c r="AB490" s="33"/>
      <c r="AC490" s="46">
        <f t="shared" ref="AC490" si="1634">+AA490/H490</f>
        <v>1.7755896548497452E-2</v>
      </c>
      <c r="AD490" s="33"/>
      <c r="AE490" s="33">
        <f t="shared" ref="AE490" si="1635">+AA490/BW490</f>
        <v>1263.5717255717257</v>
      </c>
      <c r="AF490" s="50"/>
      <c r="AG490" s="33">
        <f t="shared" ref="AG490" si="1636">SUM(W484:W490)</f>
        <v>1357</v>
      </c>
      <c r="AH490" s="33">
        <f t="shared" ref="AH490" si="1637">SUM(D461:D933)</f>
        <v>1122171996.060914</v>
      </c>
      <c r="AI490" s="213">
        <f t="shared" ref="AI490" si="1638">+(AG490-AG483)/AG483</f>
        <v>6.431372549019608E-2</v>
      </c>
      <c r="AJ490" s="50"/>
      <c r="AK490" s="111" t="s">
        <v>26</v>
      </c>
      <c r="AL490" s="23">
        <f t="shared" ref="AL490" si="1639">+AP490-AP489</f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ref="AR490" si="1640">+AL490/AP489</f>
        <v>6.2677485320412473E-4</v>
      </c>
      <c r="AS490" s="25"/>
      <c r="AT490" s="25"/>
      <c r="AU490" s="24"/>
      <c r="AV490" s="298">
        <f t="shared" ref="AV490" si="1641">+AP490/H490</f>
        <v>0.85598321898945895</v>
      </c>
      <c r="AW490" s="298"/>
      <c r="AX490" s="24">
        <f t="shared" ref="AX490" si="1642">+AP490/BW490</f>
        <v>60914.760914760918</v>
      </c>
      <c r="AY490" s="308"/>
      <c r="AZ490" s="111" t="s">
        <v>26</v>
      </c>
      <c r="BA490" s="65">
        <f t="shared" ref="BA490" si="1643">+BC490-BC489</f>
        <v>536110</v>
      </c>
      <c r="BB490" s="66"/>
      <c r="BC490" s="66">
        <v>513700000</v>
      </c>
      <c r="BD490" s="66"/>
      <c r="BE490" s="66">
        <f t="shared" ref="BE490" si="1644">+D490</f>
        <v>39754</v>
      </c>
      <c r="BF490" s="66"/>
      <c r="BG490" s="144">
        <f t="shared" ref="BG490" si="1645">+BE490/BA490</f>
        <v>7.4152692544440513E-2</v>
      </c>
      <c r="BH490" s="66"/>
      <c r="BI490" s="170"/>
      <c r="BJ490" s="66"/>
      <c r="BK490" s="66">
        <f t="shared" ref="BK490" si="1646">SUM(BA484:BA490)</f>
        <v>4483397</v>
      </c>
      <c r="BL490" s="66"/>
      <c r="BM490" s="144">
        <f t="shared" ref="BM490" si="1647">+Q490/BK490</f>
        <v>3.2190546587777077E-2</v>
      </c>
      <c r="BN490" s="65">
        <f t="shared" ref="BN490" si="1648">+BC490/BW490</f>
        <v>1067983.367983368</v>
      </c>
      <c r="BO490" s="66"/>
      <c r="BP490" s="66">
        <f t="shared" ref="BP490" si="1649">+BP489+BE490</f>
        <v>33322665</v>
      </c>
      <c r="BQ490" s="66"/>
      <c r="BR490" s="435">
        <f t="shared" ref="BR490" si="1650">+BP490/BC490</f>
        <v>6.4867948218804747E-2</v>
      </c>
      <c r="BS490" s="66"/>
      <c r="BT490" s="75"/>
      <c r="BU490" s="170"/>
      <c r="BV490" s="1"/>
      <c r="BW490" s="61">
        <f t="shared" si="1175"/>
        <v>481</v>
      </c>
    </row>
    <row r="491" spans="2:75" x14ac:dyDescent="0.3">
      <c r="B491" s="158">
        <f t="shared" si="424"/>
        <v>44391</v>
      </c>
      <c r="C491" s="61"/>
      <c r="D491" s="17">
        <v>35447</v>
      </c>
      <c r="E491" s="16"/>
      <c r="F491" s="16"/>
      <c r="G491" s="16"/>
      <c r="H491" s="16">
        <f t="shared" ref="H491" si="1651">+H490+D491</f>
        <v>34265090</v>
      </c>
      <c r="I491" s="16"/>
      <c r="J491" s="436">
        <f t="shared" ref="J491" si="1652">+D491/H490</f>
        <v>1.0355644083112406E-3</v>
      </c>
      <c r="K491" s="16"/>
      <c r="L491" s="16"/>
      <c r="M491" s="16"/>
      <c r="N491" s="16">
        <f t="shared" ref="N491" si="1653">SUM(D485:D491)</f>
        <v>162958</v>
      </c>
      <c r="O491" s="16">
        <f t="shared" ref="O491" si="1654">+H491/BW491</f>
        <v>71089.398340248968</v>
      </c>
      <c r="P491" s="41"/>
      <c r="Q491" s="17">
        <f t="shared" ref="Q491" si="1655">SUM(D485:D491)</f>
        <v>162958</v>
      </c>
      <c r="R491" s="16"/>
      <c r="S491" s="60">
        <f t="shared" ref="S491" si="1656">+(Q491-Q484)/Q484</f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ref="Z491" si="1657">SUM(W486:W491)</f>
        <v>1192</v>
      </c>
      <c r="AA491" s="33">
        <f t="shared" ref="AA491" si="1658">+AA490+W491</f>
        <v>608125</v>
      </c>
      <c r="AB491" s="33"/>
      <c r="AC491" s="46">
        <f t="shared" ref="AC491" si="1659">+AA491/H491</f>
        <v>1.7747655120707403E-2</v>
      </c>
      <c r="AD491" s="33"/>
      <c r="AE491" s="33">
        <f t="shared" ref="AE491" si="1660">+AA491/BW491</f>
        <v>1261.6701244813278</v>
      </c>
      <c r="AF491" s="50"/>
      <c r="AG491" s="33">
        <f t="shared" ref="AG491" si="1661">SUM(W485:W491)</f>
        <v>1453</v>
      </c>
      <c r="AH491" s="33">
        <f t="shared" ref="AH491" si="1662">SUM(D462:D934)</f>
        <v>1122160475.060914</v>
      </c>
      <c r="AI491" s="213">
        <f t="shared" ref="AI491" si="1663">+(AG491-AG484)/AG484</f>
        <v>0.13782302270947533</v>
      </c>
      <c r="AJ491" s="50"/>
      <c r="AK491" s="111"/>
      <c r="AL491" s="23">
        <f t="shared" ref="AL491" si="1664">+AP491-AP490</f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ref="AR491" si="1665">+AL491/AP490</f>
        <v>8.2935153583617749E-4</v>
      </c>
      <c r="AS491" s="25"/>
      <c r="AT491" s="25"/>
      <c r="AU491" s="24"/>
      <c r="AV491" s="298">
        <f t="shared" ref="AV491" si="1666">+AP491/H491</f>
        <v>0.85580688683438455</v>
      </c>
      <c r="AW491" s="298"/>
      <c r="AX491" s="24">
        <f t="shared" ref="AX491" si="1667">+AP491/BW491</f>
        <v>60838.796680497922</v>
      </c>
      <c r="AY491" s="308"/>
      <c r="AZ491" s="111"/>
      <c r="BA491" s="65">
        <f t="shared" ref="BA491" si="1668">+BC491-BC490</f>
        <v>874420</v>
      </c>
      <c r="BB491" s="66"/>
      <c r="BC491" s="66">
        <v>514574420</v>
      </c>
      <c r="BD491" s="66"/>
      <c r="BE491" s="66">
        <f t="shared" ref="BE491" si="1669">+D491</f>
        <v>35447</v>
      </c>
      <c r="BF491" s="66"/>
      <c r="BG491" s="144">
        <f t="shared" ref="BG491" si="1670">+BE491/BA491</f>
        <v>4.0537727865327874E-2</v>
      </c>
      <c r="BH491" s="66"/>
      <c r="BI491" s="170"/>
      <c r="BJ491" s="66"/>
      <c r="BK491" s="66">
        <f t="shared" ref="BK491" si="1671">SUM(BA485:BA491)</f>
        <v>4871547</v>
      </c>
      <c r="BL491" s="66"/>
      <c r="BM491" s="144">
        <f t="shared" ref="BM491" si="1672">+Q491/BK491</f>
        <v>3.3450975634639266E-2</v>
      </c>
      <c r="BN491" s="65">
        <f t="shared" ref="BN491" si="1673">+BC491/BW491</f>
        <v>1067581.7842323652</v>
      </c>
      <c r="BO491" s="66"/>
      <c r="BP491" s="66">
        <f t="shared" ref="BP491" si="1674">+BP490+BE491</f>
        <v>33358112</v>
      </c>
      <c r="BQ491" s="66"/>
      <c r="BR491" s="435">
        <f t="shared" ref="BR491" si="1675">+BP491/BC491</f>
        <v>6.4826603700976815E-2</v>
      </c>
      <c r="BS491" s="66"/>
      <c r="BT491" s="75"/>
      <c r="BU491" s="170"/>
      <c r="BV491" s="1"/>
      <c r="BW491" s="61">
        <f t="shared" si="1175"/>
        <v>482</v>
      </c>
    </row>
    <row r="492" spans="2:75" x14ac:dyDescent="0.3">
      <c r="B492" s="158">
        <f t="shared" si="424"/>
        <v>44392</v>
      </c>
      <c r="C492" s="61"/>
      <c r="D492" s="17">
        <v>36674</v>
      </c>
      <c r="E492" s="16"/>
      <c r="F492" s="16"/>
      <c r="G492" s="16"/>
      <c r="H492" s="16">
        <f t="shared" ref="H492" si="1676">+H491+D492</f>
        <v>34301764</v>
      </c>
      <c r="I492" s="16"/>
      <c r="J492" s="436">
        <f t="shared" ref="J492" si="1677">+D492/H491</f>
        <v>1.0703021646813126E-3</v>
      </c>
      <c r="K492" s="16"/>
      <c r="L492" s="16"/>
      <c r="M492" s="16"/>
      <c r="N492" s="16">
        <f t="shared" ref="N492" si="1678">SUM(D486:D492)</f>
        <v>180285</v>
      </c>
      <c r="O492" s="16">
        <f t="shared" ref="O492" si="1679">+H492/BW492</f>
        <v>71018.144927536225</v>
      </c>
      <c r="P492" s="41"/>
      <c r="Q492" s="17">
        <f t="shared" ref="Q492" si="1680">SUM(D486:D492)</f>
        <v>180285</v>
      </c>
      <c r="R492" s="16"/>
      <c r="S492" s="60">
        <f t="shared" ref="S492" si="1681">+(Q492-Q485)/Q485</f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ref="Z492" si="1682">SUM(W487:W492)</f>
        <v>1170</v>
      </c>
      <c r="AA492" s="33">
        <f t="shared" ref="AA492" si="1683">+AA491+W492</f>
        <v>608469</v>
      </c>
      <c r="AB492" s="33"/>
      <c r="AC492" s="46">
        <f t="shared" ref="AC492" si="1684">+AA492/H492</f>
        <v>1.7738708714805453E-2</v>
      </c>
      <c r="AD492" s="33"/>
      <c r="AE492" s="33">
        <f t="shared" ref="AE492" si="1685">+AA492/BW492</f>
        <v>1259.7701863354037</v>
      </c>
      <c r="AF492" s="50"/>
      <c r="AG492" s="33">
        <f t="shared" ref="AG492" si="1686">SUM(W486:W492)</f>
        <v>1536</v>
      </c>
      <c r="AH492" s="33">
        <f t="shared" ref="AH492" si="1687">SUM(D463:D935)</f>
        <v>1122147895.060914</v>
      </c>
      <c r="AI492" s="213">
        <f t="shared" ref="AI492" si="1688">+(AG492-AG485)/AG485</f>
        <v>0.25592804578904332</v>
      </c>
      <c r="AJ492" s="50"/>
      <c r="AK492" s="111"/>
      <c r="AL492" s="23">
        <f t="shared" ref="AL492" si="1689">+AP492-AP491</f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ref="AR492" si="1690">+AL492/AP491</f>
        <v>6.006281479864822E-4</v>
      </c>
      <c r="AS492" s="25"/>
      <c r="AT492" s="25"/>
      <c r="AU492" s="24"/>
      <c r="AV492" s="298">
        <f t="shared" ref="AV492" si="1691">+AP492/H492</f>
        <v>0.85540536632460074</v>
      </c>
      <c r="AW492" s="298"/>
      <c r="AX492" s="24">
        <f t="shared" ref="AX492" si="1692">+AP492/BW492</f>
        <v>60749.302277432711</v>
      </c>
      <c r="AY492" s="308"/>
      <c r="AZ492" s="111"/>
      <c r="BA492" s="65">
        <f t="shared" ref="BA492" si="1693">+BC492-BC491</f>
        <v>637606</v>
      </c>
      <c r="BB492" s="66"/>
      <c r="BC492" s="66">
        <v>515212026</v>
      </c>
      <c r="BD492" s="66"/>
      <c r="BE492" s="66">
        <f t="shared" ref="BE492" si="1694">+D492</f>
        <v>36674</v>
      </c>
      <c r="BF492" s="66"/>
      <c r="BG492" s="144">
        <f t="shared" ref="BG492" si="1695">+BE492/BA492</f>
        <v>5.7518279313557276E-2</v>
      </c>
      <c r="BH492" s="66"/>
      <c r="BI492" s="170"/>
      <c r="BJ492" s="66"/>
      <c r="BK492" s="66">
        <f t="shared" ref="BK492" si="1696">SUM(BA486:BA492)</f>
        <v>4731685</v>
      </c>
      <c r="BL492" s="66"/>
      <c r="BM492" s="144">
        <f t="shared" ref="BM492" si="1697">+Q492/BK492</f>
        <v>3.810164877839501E-2</v>
      </c>
      <c r="BN492" s="65">
        <f t="shared" ref="BN492" si="1698">+BC492/BW492</f>
        <v>1066691.5652173914</v>
      </c>
      <c r="BO492" s="66"/>
      <c r="BP492" s="66">
        <f t="shared" ref="BP492" si="1699">+BP491+BE492</f>
        <v>33394786</v>
      </c>
      <c r="BQ492" s="66"/>
      <c r="BR492" s="435">
        <f t="shared" ref="BR492" si="1700">+BP492/BC492</f>
        <v>6.4817559208138517E-2</v>
      </c>
      <c r="BS492" s="66"/>
      <c r="BT492" s="75"/>
      <c r="BU492" s="170"/>
      <c r="BV492" s="1"/>
      <c r="BW492" s="61">
        <f t="shared" si="1175"/>
        <v>483</v>
      </c>
    </row>
    <row r="493" spans="2:75" x14ac:dyDescent="0.3">
      <c r="B493" s="158">
        <f t="shared" si="424"/>
        <v>44393</v>
      </c>
      <c r="C493" s="61"/>
      <c r="D493" s="17">
        <v>40529</v>
      </c>
      <c r="E493" s="16"/>
      <c r="F493" s="16"/>
      <c r="G493" s="16"/>
      <c r="H493" s="16">
        <f t="shared" ref="H493" si="1701">+H492+D493</f>
        <v>34342293</v>
      </c>
      <c r="I493" s="16"/>
      <c r="J493" s="436">
        <f t="shared" ref="J493" si="1702">+D493/H492</f>
        <v>1.1815427334874089E-3</v>
      </c>
      <c r="K493" s="16"/>
      <c r="L493" s="16"/>
      <c r="M493" s="16"/>
      <c r="N493" s="16">
        <f t="shared" ref="N493" si="1703">SUM(D487:D493)</f>
        <v>193577</v>
      </c>
      <c r="O493" s="16">
        <f t="shared" ref="O493" si="1704">+H493/BW493</f>
        <v>70955.150826446275</v>
      </c>
      <c r="P493" s="41"/>
      <c r="Q493" s="17">
        <f t="shared" ref="Q493" si="1705">SUM(D487:D493)</f>
        <v>193577</v>
      </c>
      <c r="R493" s="16"/>
      <c r="S493" s="60">
        <f t="shared" ref="S493" si="1706">+(Q493-Q486)/Q486</f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ref="Z493" si="1707">SUM(W488:W493)</f>
        <v>1345</v>
      </c>
      <c r="AA493" s="33">
        <f t="shared" ref="AA493" si="1708">+AA492+W493</f>
        <v>608762</v>
      </c>
      <c r="AB493" s="33"/>
      <c r="AC493" s="46">
        <f t="shared" ref="AC493" si="1709">+AA493/H493</f>
        <v>1.7726306161327084E-2</v>
      </c>
      <c r="AD493" s="33"/>
      <c r="AE493" s="33">
        <f t="shared" ref="AE493" si="1710">+AA493/BW493</f>
        <v>1257.7727272727273</v>
      </c>
      <c r="AF493" s="50"/>
      <c r="AG493" s="33">
        <f t="shared" ref="AG493" si="1711">SUM(W487:W493)</f>
        <v>1463</v>
      </c>
      <c r="AH493" s="33">
        <f t="shared" ref="AH493" si="1712">SUM(D464:D936)</f>
        <v>1122133832.060914</v>
      </c>
      <c r="AI493" s="213">
        <f t="shared" ref="AI493" si="1713">+(AG493-AG486)/AG486</f>
        <v>0.15469613259668508</v>
      </c>
      <c r="AJ493" s="50"/>
      <c r="AK493" s="111"/>
      <c r="AL493" s="23">
        <f t="shared" ref="AL493" si="1714">+AP493-AP492</f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ref="AR493" si="1715">+AL493/AP492</f>
        <v>5.6635707426438075E-4</v>
      </c>
      <c r="AS493" s="25"/>
      <c r="AT493" s="25"/>
      <c r="AU493" s="24"/>
      <c r="AV493" s="298">
        <f t="shared" ref="AV493" si="1716">+AP493/H493</f>
        <v>0.85487975424355034</v>
      </c>
      <c r="AW493" s="298"/>
      <c r="AX493" s="24">
        <f t="shared" ref="AX493" si="1717">+AP493/BW493</f>
        <v>60658.121900826445</v>
      </c>
      <c r="AY493" s="308"/>
      <c r="AZ493" s="111"/>
      <c r="BA493" s="65">
        <f t="shared" ref="BA493" si="1718">+BC493-BC492</f>
        <v>852776</v>
      </c>
      <c r="BB493" s="66"/>
      <c r="BC493" s="66">
        <v>516064802</v>
      </c>
      <c r="BD493" s="66"/>
      <c r="BE493" s="66">
        <f t="shared" ref="BE493" si="1719">+D493</f>
        <v>40529</v>
      </c>
      <c r="BF493" s="66"/>
      <c r="BG493" s="144">
        <f t="shared" ref="BG493" si="1720">+BE493/BA493</f>
        <v>4.7525962269107012E-2</v>
      </c>
      <c r="BH493" s="66"/>
      <c r="BI493" s="170"/>
      <c r="BJ493" s="66"/>
      <c r="BK493" s="66">
        <f t="shared" ref="BK493" si="1721">SUM(BA487:BA493)</f>
        <v>4636798</v>
      </c>
      <c r="BL493" s="66"/>
      <c r="BM493" s="144">
        <f t="shared" ref="BM493" si="1722">+Q493/BK493</f>
        <v>4.1747990747062952E-2</v>
      </c>
      <c r="BN493" s="65">
        <f t="shared" ref="BN493" si="1723">+BC493/BW493</f>
        <v>1066249.5909090908</v>
      </c>
      <c r="BO493" s="66"/>
      <c r="BP493" s="66">
        <f t="shared" ref="BP493" si="1724">+BP492+BE493</f>
        <v>33435315</v>
      </c>
      <c r="BQ493" s="66"/>
      <c r="BR493" s="435">
        <f t="shared" ref="BR493" si="1725">+BP493/BC493</f>
        <v>6.478898555069447E-2</v>
      </c>
      <c r="BS493" s="66"/>
      <c r="BT493" s="75"/>
      <c r="BU493" s="170"/>
      <c r="BV493" s="1"/>
      <c r="BW493" s="61">
        <f t="shared" si="1175"/>
        <v>484</v>
      </c>
    </row>
    <row r="494" spans="2:75" x14ac:dyDescent="0.3">
      <c r="B494" s="158">
        <f t="shared" si="424"/>
        <v>44394</v>
      </c>
      <c r="C494" s="61"/>
      <c r="D494" s="17">
        <v>24081</v>
      </c>
      <c r="E494" s="16"/>
      <c r="F494" s="16"/>
      <c r="G494" s="16"/>
      <c r="H494" s="16">
        <f t="shared" ref="H494" si="1726">+H493+D494</f>
        <v>34366374</v>
      </c>
      <c r="I494" s="16"/>
      <c r="J494" s="436">
        <f t="shared" ref="J494" si="1727">+D494/H493</f>
        <v>7.0120536214631911E-4</v>
      </c>
      <c r="K494" s="16"/>
      <c r="L494" s="16"/>
      <c r="M494" s="16"/>
      <c r="N494" s="16">
        <f t="shared" ref="N494" si="1728">SUM(D488:D494)</f>
        <v>203123</v>
      </c>
      <c r="O494" s="16">
        <f t="shared" ref="O494" si="1729">+H494/BW494</f>
        <v>70858.503092783503</v>
      </c>
      <c r="P494" s="41"/>
      <c r="Q494" s="17">
        <f t="shared" ref="Q494" si="1730">SUM(D488:D494)</f>
        <v>203123</v>
      </c>
      <c r="R494" s="16"/>
      <c r="S494" s="60">
        <f t="shared" ref="S494" si="1731">+(Q494-Q487)/Q487</f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ref="Z494" si="1732">SUM(W489:W494)</f>
        <v>1431</v>
      </c>
      <c r="AA494" s="33">
        <f t="shared" ref="AA494" si="1733">+AA493+W494</f>
        <v>608875</v>
      </c>
      <c r="AB494" s="33"/>
      <c r="AC494" s="46">
        <f t="shared" ref="AC494" si="1734">+AA494/H494</f>
        <v>1.7717173187954016E-2</v>
      </c>
      <c r="AD494" s="33"/>
      <c r="AE494" s="33">
        <f t="shared" ref="AE494" si="1735">+AA494/BW494</f>
        <v>1255.4123711340205</v>
      </c>
      <c r="AF494" s="50"/>
      <c r="AG494" s="33">
        <f t="shared" ref="AG494" si="1736">SUM(W488:W494)</f>
        <v>1458</v>
      </c>
      <c r="AH494" s="33">
        <f t="shared" ref="AH494" si="1737">SUM(D465:D937)</f>
        <v>1122120099.060914</v>
      </c>
      <c r="AI494" s="213">
        <f t="shared" ref="AI494" si="1738">+(AG494-AG487)/AG487</f>
        <v>0.13110938712179984</v>
      </c>
      <c r="AJ494" s="50"/>
      <c r="AK494" s="111"/>
      <c r="AL494" s="23">
        <f t="shared" ref="AL494" si="1739">+AP494-AP493</f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ref="AR494" si="1740">+AL494/AP493</f>
        <v>3.6275656980248774E-4</v>
      </c>
      <c r="AS494" s="25"/>
      <c r="AT494" s="25"/>
      <c r="AU494" s="24"/>
      <c r="AV494" s="298">
        <f t="shared" ref="AV494" si="1741">+AP494/H494</f>
        <v>0.8545906239628307</v>
      </c>
      <c r="AW494" s="298"/>
      <c r="AX494" s="24">
        <f t="shared" ref="AX494" si="1742">+AP494/BW494</f>
        <v>60555.01237113402</v>
      </c>
      <c r="AY494" s="308"/>
      <c r="AZ494" s="111"/>
      <c r="BA494" s="65">
        <f t="shared" ref="BA494" si="1743">+BC494-BC493</f>
        <v>212860</v>
      </c>
      <c r="BB494" s="66"/>
      <c r="BC494" s="66">
        <v>516277662</v>
      </c>
      <c r="BD494" s="66"/>
      <c r="BE494" s="66">
        <f t="shared" ref="BE494" si="1744">+D494</f>
        <v>24081</v>
      </c>
      <c r="BF494" s="66"/>
      <c r="BG494" s="144">
        <f t="shared" ref="BG494" si="1745">+BE494/BA494</f>
        <v>0.11313069623226533</v>
      </c>
      <c r="BH494" s="66"/>
      <c r="BI494" s="170"/>
      <c r="BJ494" s="66"/>
      <c r="BK494" s="66">
        <f t="shared" ref="BK494" si="1746">SUM(BA488:BA494)</f>
        <v>4606997</v>
      </c>
      <c r="BL494" s="66"/>
      <c r="BM494" s="144">
        <f t="shared" ref="BM494" si="1747">+Q494/BK494</f>
        <v>4.409010902329652E-2</v>
      </c>
      <c r="BN494" s="65">
        <f t="shared" ref="BN494" si="1748">+BC494/BW494</f>
        <v>1064490.024742268</v>
      </c>
      <c r="BO494" s="66"/>
      <c r="BP494" s="66">
        <f t="shared" ref="BP494" si="1749">+BP493+BE494</f>
        <v>33459396</v>
      </c>
      <c r="BQ494" s="66"/>
      <c r="BR494" s="435">
        <f t="shared" ref="BR494" si="1750">+BP494/BC494</f>
        <v>6.480891671815156E-2</v>
      </c>
      <c r="BS494" s="66"/>
      <c r="BT494" s="75"/>
      <c r="BU494" s="170"/>
      <c r="BV494" s="1"/>
      <c r="BW494" s="61">
        <f t="shared" si="1175"/>
        <v>485</v>
      </c>
    </row>
    <row r="495" spans="2:75" x14ac:dyDescent="0.3">
      <c r="B495" s="347">
        <f t="shared" si="424"/>
        <v>44395</v>
      </c>
      <c r="C495" s="61"/>
      <c r="D495" s="17">
        <v>22278</v>
      </c>
      <c r="E495" s="16"/>
      <c r="F495" s="16"/>
      <c r="G495" s="16"/>
      <c r="H495" s="16">
        <f t="shared" ref="H495" si="1751">+H494+D495</f>
        <v>34388652</v>
      </c>
      <c r="I495" s="16"/>
      <c r="J495" s="436">
        <f t="shared" ref="J495" si="1752">+D495/H494</f>
        <v>6.4824994338943064E-4</v>
      </c>
      <c r="K495" s="16"/>
      <c r="L495" s="16"/>
      <c r="M495" s="16"/>
      <c r="N495" s="16">
        <f t="shared" ref="N495" si="1753">SUM(D489:D495)</f>
        <v>218759</v>
      </c>
      <c r="O495" s="16">
        <f t="shared" ref="O495" si="1754">+H495/BW495</f>
        <v>70758.543209876545</v>
      </c>
      <c r="P495" s="41"/>
      <c r="Q495" s="17">
        <f t="shared" ref="Q495" si="1755">SUM(D489:D495)</f>
        <v>218759</v>
      </c>
      <c r="R495" s="16"/>
      <c r="S495" s="60">
        <f t="shared" ref="S495" si="1756">+(Q495-Q488)/Q488</f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ref="Z495" si="1757">SUM(W490:W495)</f>
        <v>1350</v>
      </c>
      <c r="AA495" s="33">
        <f t="shared" ref="AA495" si="1758">+AA494+W495</f>
        <v>608957</v>
      </c>
      <c r="AB495" s="33"/>
      <c r="AC495" s="46">
        <f t="shared" ref="AC495" si="1759">+AA495/H495</f>
        <v>1.7708079979407161E-2</v>
      </c>
      <c r="AD495" s="33"/>
      <c r="AE495" s="33">
        <f t="shared" ref="AE495" si="1760">+AA495/BW495</f>
        <v>1252.9979423868313</v>
      </c>
      <c r="AF495" s="50"/>
      <c r="AG495" s="33">
        <f t="shared" ref="AG495" si="1761">SUM(W489:W495)</f>
        <v>1513</v>
      </c>
      <c r="AH495" s="33">
        <f t="shared" ref="AH495" si="1762">SUM(D466:D938)</f>
        <v>1122106710.060914</v>
      </c>
      <c r="AI495" s="213">
        <f t="shared" ref="AI495" si="1763">+(AG495-AG488)/AG488</f>
        <v>0.19984139571768439</v>
      </c>
      <c r="AJ495" s="50"/>
      <c r="AK495" s="111"/>
      <c r="AL495" s="23">
        <f t="shared" ref="AL495" si="1764">+AP495-AP494</f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ref="AR495" si="1765">+AL495/AP494</f>
        <v>3.8652763248658519E-4</v>
      </c>
      <c r="AS495" s="25"/>
      <c r="AT495" s="25"/>
      <c r="AU495" s="24"/>
      <c r="AV495" s="298">
        <f t="shared" ref="AV495" si="1766">+AP495/H495</f>
        <v>0.85436710342702582</v>
      </c>
      <c r="AW495" s="298"/>
      <c r="AX495" s="24">
        <f t="shared" ref="AX495" si="1767">+AP495/BW495</f>
        <v>60453.771604938273</v>
      </c>
      <c r="AY495" s="308"/>
      <c r="AZ495" s="111"/>
      <c r="BA495" s="65">
        <f t="shared" ref="BA495" si="1768">+BC495-BC494</f>
        <v>1092874</v>
      </c>
      <c r="BB495" s="66"/>
      <c r="BC495" s="66">
        <v>517370536</v>
      </c>
      <c r="BD495" s="66"/>
      <c r="BE495" s="66">
        <f t="shared" ref="BE495" si="1769">+D495</f>
        <v>22278</v>
      </c>
      <c r="BF495" s="66"/>
      <c r="BG495" s="144">
        <f t="shared" ref="BG495" si="1770">+BE495/BA495</f>
        <v>2.0384783607259392E-2</v>
      </c>
      <c r="BH495" s="66"/>
      <c r="BI495" s="170"/>
      <c r="BJ495" s="66"/>
      <c r="BK495" s="66">
        <f t="shared" ref="BK495" si="1771">SUM(BA489:BA495)</f>
        <v>5565009</v>
      </c>
      <c r="BL495" s="66"/>
      <c r="BM495" s="144">
        <f t="shared" ref="BM495" si="1772">+Q495/BK495</f>
        <v>3.9309729777615814E-2</v>
      </c>
      <c r="BN495" s="65">
        <f t="shared" ref="BN495" si="1773">+BC495/BW495</f>
        <v>1064548.4279835392</v>
      </c>
      <c r="BO495" s="66"/>
      <c r="BP495" s="66">
        <f t="shared" ref="BP495" si="1774">+BP494+BE495</f>
        <v>33481674</v>
      </c>
      <c r="BQ495" s="66"/>
      <c r="BR495" s="435">
        <f t="shared" ref="BR495" si="1775">+BP495/BC495</f>
        <v>6.4715076855478296E-2</v>
      </c>
      <c r="BS495" s="66"/>
      <c r="BT495" s="75"/>
      <c r="BU495" s="170"/>
      <c r="BV495" s="1"/>
      <c r="BW495" s="61">
        <f t="shared" si="1175"/>
        <v>486</v>
      </c>
    </row>
    <row r="496" spans="2:75" x14ac:dyDescent="0.3">
      <c r="B496" s="158">
        <f t="shared" si="424"/>
        <v>44396</v>
      </c>
      <c r="C496" s="61"/>
      <c r="D496" s="17">
        <v>32576</v>
      </c>
      <c r="E496" s="16"/>
      <c r="F496" s="16"/>
      <c r="G496" s="16"/>
      <c r="H496" s="16">
        <f t="shared" ref="H496" si="1776">+H495+D496</f>
        <v>34421228</v>
      </c>
      <c r="I496" s="16"/>
      <c r="J496" s="436">
        <f t="shared" ref="J496" si="1777">+D496/H495</f>
        <v>9.4728923948516502E-4</v>
      </c>
      <c r="K496" s="16"/>
      <c r="L496" s="16"/>
      <c r="M496" s="16"/>
      <c r="N496" s="16">
        <f t="shared" ref="N496" si="1778">SUM(D490:D496)</f>
        <v>231339</v>
      </c>
      <c r="O496" s="16">
        <f t="shared" ref="O496" si="1779">+H496/BW496</f>
        <v>70680.139630390142</v>
      </c>
      <c r="P496" s="41"/>
      <c r="Q496" s="17">
        <f t="shared" ref="Q496" si="1780">SUM(D490:D496)</f>
        <v>231339</v>
      </c>
      <c r="R496" s="16"/>
      <c r="S496" s="60">
        <f t="shared" ref="S496" si="1781">+(Q496-Q489)/Q489</f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ref="Z496" si="1782">SUM(W491:W496)</f>
        <v>1316</v>
      </c>
      <c r="AA496" s="33">
        <f t="shared" ref="AA496" si="1783">+AA495+W496</f>
        <v>609094</v>
      </c>
      <c r="AB496" s="33"/>
      <c r="AC496" s="46">
        <f t="shared" ref="AC496" si="1784">+AA496/H496</f>
        <v>1.7695301283266244E-2</v>
      </c>
      <c r="AD496" s="33"/>
      <c r="AE496" s="33">
        <f t="shared" ref="AE496" si="1785">+AA496/BW496</f>
        <v>1250.7063655030802</v>
      </c>
      <c r="AF496" s="50"/>
      <c r="AG496" s="33">
        <f t="shared" ref="AG496" si="1786">SUM(W490:W496)</f>
        <v>1487</v>
      </c>
      <c r="AH496" s="33">
        <f t="shared" ref="AH496" si="1787">SUM(D467:D939)</f>
        <v>1122098928.060914</v>
      </c>
      <c r="AI496" s="213">
        <f t="shared" ref="AI496" si="1788">+(AG496-AG489)/AG489</f>
        <v>7.1325648414985593E-2</v>
      </c>
      <c r="AJ496" s="50"/>
      <c r="AK496" s="111"/>
      <c r="AL496" s="23">
        <f t="shared" ref="AL496" si="1789">+AP496-AP495</f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ref="AR496" si="1790">+AL496/AP495</f>
        <v>1.0695176973133877E-3</v>
      </c>
      <c r="AS496" s="25"/>
      <c r="AT496" s="25"/>
      <c r="AU496" s="24"/>
      <c r="AV496" s="298">
        <f t="shared" ref="AV496" si="1791">+AP496/H496</f>
        <v>0.85447143257062186</v>
      </c>
      <c r="AW496" s="298"/>
      <c r="AX496" s="24">
        <f t="shared" ref="AX496" si="1792">+AP496/BW496</f>
        <v>60394.160164271045</v>
      </c>
      <c r="AY496" s="308"/>
      <c r="AZ496" s="111"/>
      <c r="BA496" s="65">
        <f t="shared" ref="BA496" si="1793">+BC496-BC495</f>
        <v>614626</v>
      </c>
      <c r="BB496" s="66"/>
      <c r="BC496" s="66">
        <v>517985162</v>
      </c>
      <c r="BD496" s="66"/>
      <c r="BE496" s="66">
        <f t="shared" ref="BE496" si="1794">+D496</f>
        <v>32576</v>
      </c>
      <c r="BF496" s="66"/>
      <c r="BG496" s="144">
        <f t="shared" ref="BG496" si="1795">+BE496/BA496</f>
        <v>5.3001337398678218E-2</v>
      </c>
      <c r="BH496" s="66"/>
      <c r="BI496" s="170"/>
      <c r="BJ496" s="66"/>
      <c r="BK496" s="66">
        <f t="shared" ref="BK496" si="1796">SUM(BA490:BA496)</f>
        <v>4821272</v>
      </c>
      <c r="BL496" s="66"/>
      <c r="BM496" s="144">
        <f t="shared" ref="BM496" si="1797">+Q496/BK496</f>
        <v>4.7982980425082838E-2</v>
      </c>
      <c r="BN496" s="65">
        <f t="shared" ref="BN496" si="1798">+BC496/BW496</f>
        <v>1063624.5626283367</v>
      </c>
      <c r="BO496" s="66"/>
      <c r="BP496" s="66">
        <f t="shared" ref="BP496" si="1799">+BP495+BE496</f>
        <v>33514250</v>
      </c>
      <c r="BQ496" s="66"/>
      <c r="BR496" s="435">
        <f t="shared" ref="BR496" si="1800">+BP496/BC496</f>
        <v>6.4701177675819219E-2</v>
      </c>
      <c r="BS496" s="66"/>
      <c r="BT496" s="75"/>
      <c r="BU496" s="170"/>
      <c r="BV496" s="1"/>
      <c r="BW496" s="61">
        <f t="shared" si="1175"/>
        <v>487</v>
      </c>
    </row>
    <row r="497" spans="2:75" x14ac:dyDescent="0.3">
      <c r="B497" s="158">
        <f t="shared" si="424"/>
        <v>44397</v>
      </c>
      <c r="C497" s="61"/>
      <c r="D497" s="17">
        <v>44232</v>
      </c>
      <c r="E497" s="16"/>
      <c r="F497" s="16"/>
      <c r="G497" s="16"/>
      <c r="H497" s="16">
        <f t="shared" ref="H497" si="1801">+H496+D497</f>
        <v>34465460</v>
      </c>
      <c r="I497" s="16"/>
      <c r="J497" s="436">
        <f t="shared" ref="J497" si="1802">+D497/H496</f>
        <v>1.2850209760093393E-3</v>
      </c>
      <c r="K497" s="16"/>
      <c r="L497" s="16"/>
      <c r="M497" s="16"/>
      <c r="N497" s="16">
        <f t="shared" ref="N497" si="1803">SUM(D491:D497)</f>
        <v>235817</v>
      </c>
      <c r="O497" s="16">
        <f t="shared" ref="O497" si="1804">+H497/BW497</f>
        <v>70625.942622950824</v>
      </c>
      <c r="P497" s="41"/>
      <c r="Q497" s="17">
        <f t="shared" ref="Q497" si="1805">SUM(D491:D497)</f>
        <v>235817</v>
      </c>
      <c r="R497" s="16"/>
      <c r="S497" s="60">
        <f t="shared" ref="S497" si="1806">+(Q497-Q490)/Q490</f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ref="Z497" si="1807">SUM(W492:W497)</f>
        <v>1225</v>
      </c>
      <c r="AA497" s="33">
        <f t="shared" ref="AA497" si="1808">+AA496+W497</f>
        <v>609350</v>
      </c>
      <c r="AB497" s="33"/>
      <c r="AC497" s="46">
        <f t="shared" ref="AC497" si="1809">+AA497/H497</f>
        <v>1.7680019358511392E-2</v>
      </c>
      <c r="AD497" s="33"/>
      <c r="AE497" s="33">
        <f t="shared" ref="AE497" si="1810">+AA497/BW497</f>
        <v>1248.6680327868853</v>
      </c>
      <c r="AF497" s="50"/>
      <c r="AG497" s="33">
        <f t="shared" ref="AG497" si="1811">SUM(W491:W497)</f>
        <v>1572</v>
      </c>
      <c r="AH497" s="33">
        <f t="shared" ref="AH497" si="1812">SUM(D468:D940)</f>
        <v>1122094506.060914</v>
      </c>
      <c r="AI497" s="213">
        <f t="shared" ref="AI497" si="1813">+(AG497-AG490)/AG490</f>
        <v>0.15843773028739869</v>
      </c>
      <c r="AJ497" s="50"/>
      <c r="AK497" s="111"/>
      <c r="AL497" s="23">
        <f t="shared" ref="AL497" si="1814">+AP497-AP496</f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ref="AR497" si="1815">+AL497/AP496</f>
        <v>7.8930486636114917E-4</v>
      </c>
      <c r="AS497" s="25"/>
      <c r="AT497" s="25"/>
      <c r="AU497" s="24"/>
      <c r="AV497" s="298">
        <f t="shared" ref="AV497" si="1816">+AP497/H497</f>
        <v>0.85404840092080592</v>
      </c>
      <c r="AW497" s="298"/>
      <c r="AX497" s="24">
        <f t="shared" ref="AX497" si="1817">+AP497/BW497</f>
        <v>60317.973360655735</v>
      </c>
      <c r="AY497" s="308"/>
      <c r="AZ497" s="111"/>
      <c r="BA497" s="65">
        <f t="shared" ref="BA497" si="1818">+BC497-BC496</f>
        <v>673069</v>
      </c>
      <c r="BB497" s="66"/>
      <c r="BC497" s="66">
        <v>518658231</v>
      </c>
      <c r="BD497" s="66"/>
      <c r="BE497" s="66">
        <f t="shared" ref="BE497" si="1819">+D497</f>
        <v>44232</v>
      </c>
      <c r="BF497" s="66"/>
      <c r="BG497" s="144">
        <f t="shared" ref="BG497" si="1820">+BE497/BA497</f>
        <v>6.571688786736575E-2</v>
      </c>
      <c r="BH497" s="66"/>
      <c r="BI497" s="170"/>
      <c r="BJ497" s="66"/>
      <c r="BK497" s="66">
        <f t="shared" ref="BK497" si="1821">SUM(BA491:BA497)</f>
        <v>4958231</v>
      </c>
      <c r="BL497" s="66"/>
      <c r="BM497" s="144">
        <f t="shared" ref="BM497" si="1822">+Q497/BK497</f>
        <v>4.7560712681599546E-2</v>
      </c>
      <c r="BN497" s="65">
        <f t="shared" ref="BN497" si="1823">+BC497/BW497</f>
        <v>1062824.2438524591</v>
      </c>
      <c r="BO497" s="66"/>
      <c r="BP497" s="66">
        <f t="shared" ref="BP497" si="1824">+BP496+BE497</f>
        <v>33558482</v>
      </c>
      <c r="BQ497" s="66"/>
      <c r="BR497" s="435">
        <f t="shared" ref="BR497" si="1825">+BP497/BC497</f>
        <v>6.4702495775103203E-2</v>
      </c>
      <c r="BS497" s="66"/>
      <c r="BT497" s="75"/>
      <c r="BU497" s="170"/>
      <c r="BV497" s="1"/>
      <c r="BW497" s="61">
        <f t="shared" si="1175"/>
        <v>488</v>
      </c>
    </row>
    <row r="498" spans="2:75" x14ac:dyDescent="0.3">
      <c r="B498" s="158">
        <f t="shared" si="424"/>
        <v>44398</v>
      </c>
      <c r="C498" s="61"/>
      <c r="D498" s="17">
        <v>56525</v>
      </c>
      <c r="E498" s="16"/>
      <c r="F498" s="16"/>
      <c r="G498" s="16"/>
      <c r="H498" s="16">
        <f t="shared" ref="H498" si="1826">+H497+D498</f>
        <v>34521985</v>
      </c>
      <c r="I498" s="16"/>
      <c r="J498" s="436">
        <f t="shared" ref="J498" si="1827">+D498/H497</f>
        <v>1.6400477463524351E-3</v>
      </c>
      <c r="K498" s="16"/>
      <c r="L498" s="16"/>
      <c r="M498" s="16"/>
      <c r="N498" s="16">
        <f t="shared" ref="N498" si="1828">SUM(D492:D498)</f>
        <v>256895</v>
      </c>
      <c r="O498" s="16">
        <f t="shared" ref="O498" si="1829">+H498/BW498</f>
        <v>70597.106339468301</v>
      </c>
      <c r="P498" s="41"/>
      <c r="Q498" s="17">
        <f t="shared" ref="Q498" si="1830">SUM(D492:D498)</f>
        <v>256895</v>
      </c>
      <c r="R498" s="16"/>
      <c r="S498" s="60">
        <f t="shared" ref="S498" si="1831">+(Q498-Q491)/Q491</f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ref="Z498" si="1832">SUM(W493:W498)</f>
        <v>1297</v>
      </c>
      <c r="AA498" s="33">
        <f t="shared" ref="AA498" si="1833">+AA497+W498</f>
        <v>609766</v>
      </c>
      <c r="AB498" s="33"/>
      <c r="AC498" s="46">
        <f t="shared" ref="AC498" si="1834">+AA498/H498</f>
        <v>1.7663121051700821E-2</v>
      </c>
      <c r="AD498" s="33"/>
      <c r="AE498" s="33">
        <f t="shared" ref="AE498" si="1835">+AA498/BW498</f>
        <v>1246.9652351738241</v>
      </c>
      <c r="AF498" s="50"/>
      <c r="AG498" s="33">
        <f t="shared" ref="AG498" si="1836">SUM(W492:W498)</f>
        <v>1641</v>
      </c>
      <c r="AH498" s="33">
        <f t="shared" ref="AH498" si="1837">SUM(D469:D941)</f>
        <v>1122084751.060914</v>
      </c>
      <c r="AI498" s="213">
        <f t="shared" ref="AI498" si="1838">+(AG498-AG491)/AG491</f>
        <v>0.12938747419132829</v>
      </c>
      <c r="AJ498" s="50"/>
      <c r="AK498" s="111"/>
      <c r="AL498" s="23">
        <f t="shared" ref="AL498" si="1839">+AP498-AP497</f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ref="AR498" si="1840">+AL498/AP497</f>
        <v>7.8925989592518425E-4</v>
      </c>
      <c r="AS498" s="25"/>
      <c r="AT498" s="25"/>
      <c r="AU498" s="24"/>
      <c r="AV498" s="298">
        <f t="shared" ref="AV498" si="1841">+AP498/H498</f>
        <v>0.85332297664806933</v>
      </c>
      <c r="AW498" s="298"/>
      <c r="AX498" s="24">
        <f t="shared" ref="AX498" si="1842">+AP498/BW498</f>
        <v>60242.132924335376</v>
      </c>
      <c r="AY498" s="308"/>
      <c r="AZ498" s="111"/>
      <c r="BA498" s="65">
        <f t="shared" ref="BA498" si="1843">+BC498-BC497</f>
        <v>822020</v>
      </c>
      <c r="BB498" s="66"/>
      <c r="BC498" s="66">
        <v>519480251</v>
      </c>
      <c r="BD498" s="66"/>
      <c r="BE498" s="66">
        <f t="shared" ref="BE498" si="1844">+D498</f>
        <v>56525</v>
      </c>
      <c r="BF498" s="66"/>
      <c r="BG498" s="144">
        <f t="shared" ref="BG498" si="1845">+BE498/BA498</f>
        <v>6.8763533733972412E-2</v>
      </c>
      <c r="BH498" s="66"/>
      <c r="BI498" s="170"/>
      <c r="BJ498" s="66"/>
      <c r="BK498" s="66">
        <f t="shared" ref="BK498" si="1846">SUM(BA492:BA498)</f>
        <v>4905831</v>
      </c>
      <c r="BL498" s="66"/>
      <c r="BM498" s="144">
        <f t="shared" ref="BM498" si="1847">+Q498/BK498</f>
        <v>5.2365236389105126E-2</v>
      </c>
      <c r="BN498" s="65">
        <f t="shared" ref="BN498" si="1848">+BC498/BW498</f>
        <v>1062331.8016359918</v>
      </c>
      <c r="BO498" s="66"/>
      <c r="BP498" s="66">
        <f t="shared" ref="BP498" si="1849">+BP497+BE498</f>
        <v>33615007</v>
      </c>
      <c r="BQ498" s="66"/>
      <c r="BR498" s="435">
        <f t="shared" ref="BR498" si="1850">+BP498/BC498</f>
        <v>6.4708921918188569E-2</v>
      </c>
      <c r="BS498" s="66"/>
      <c r="BT498" s="75"/>
      <c r="BU498" s="170"/>
      <c r="BV498" s="1"/>
      <c r="BW498" s="61">
        <f t="shared" si="1175"/>
        <v>489</v>
      </c>
    </row>
    <row r="499" spans="2:75" x14ac:dyDescent="0.3">
      <c r="B499" s="158">
        <f t="shared" si="424"/>
        <v>44399</v>
      </c>
      <c r="C499" s="61"/>
      <c r="D499" s="17">
        <v>61651</v>
      </c>
      <c r="E499" s="16"/>
      <c r="F499" s="16"/>
      <c r="G499" s="16"/>
      <c r="H499" s="16">
        <f t="shared" ref="H499" si="1851">+H498+D499</f>
        <v>34583636</v>
      </c>
      <c r="I499" s="16"/>
      <c r="J499" s="436">
        <f t="shared" ref="J499" si="1852">+D499/H498</f>
        <v>1.7858474824086737E-3</v>
      </c>
      <c r="K499" s="16"/>
      <c r="L499" s="16"/>
      <c r="M499" s="16"/>
      <c r="N499" s="16">
        <f t="shared" ref="N499" si="1853">SUM(D493:D499)</f>
        <v>281872</v>
      </c>
      <c r="O499" s="16">
        <f t="shared" ref="O499" si="1854">+H499/BW499</f>
        <v>70578.848979591843</v>
      </c>
      <c r="P499" s="41"/>
      <c r="Q499" s="17">
        <f t="shared" ref="Q499" si="1855">SUM(D493:D499)</f>
        <v>281872</v>
      </c>
      <c r="R499" s="16"/>
      <c r="S499" s="60">
        <f t="shared" ref="S499" si="1856">+(Q499-Q492)/Q492</f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ref="Z499" si="1857">SUM(W494:W499)</f>
        <v>1369</v>
      </c>
      <c r="AA499" s="33">
        <f t="shared" ref="AA499" si="1858">+AA498+W499</f>
        <v>610131</v>
      </c>
      <c r="AB499" s="33"/>
      <c r="AC499" s="46">
        <f t="shared" ref="AC499" si="1859">+AA499/H499</f>
        <v>1.7642187767648261E-2</v>
      </c>
      <c r="AD499" s="33"/>
      <c r="AE499" s="33">
        <f t="shared" ref="AE499" si="1860">+AA499/BW499</f>
        <v>1245.165306122449</v>
      </c>
      <c r="AF499" s="50"/>
      <c r="AG499" s="33">
        <f t="shared" ref="AG499" si="1861">SUM(W493:W499)</f>
        <v>1662</v>
      </c>
      <c r="AH499" s="33">
        <f t="shared" ref="AH499" si="1862">SUM(D470:D942)</f>
        <v>1122071877.060914</v>
      </c>
      <c r="AI499" s="213">
        <f t="shared" ref="AI499" si="1863">+(AG499-AG492)/AG492</f>
        <v>8.203125E-2</v>
      </c>
      <c r="AJ499" s="50"/>
      <c r="AK499" s="111"/>
      <c r="AL499" s="23">
        <f t="shared" ref="AL499" si="1864">+AP499-AP498</f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ref="AR499" si="1865">+AL499/AP498</f>
        <v>6.7111581031734817E-4</v>
      </c>
      <c r="AS499" s="25"/>
      <c r="AT499" s="25"/>
      <c r="AU499" s="24"/>
      <c r="AV499" s="298">
        <f t="shared" ref="AV499" si="1866">+AP499/H499</f>
        <v>0.85237344621600808</v>
      </c>
      <c r="AW499" s="298"/>
      <c r="AX499" s="24">
        <f t="shared" ref="AX499" si="1867">+AP499/BW499</f>
        <v>60159.53673469388</v>
      </c>
      <c r="AY499" s="308"/>
      <c r="AZ499" s="111"/>
      <c r="BA499" s="65">
        <f t="shared" ref="BA499" si="1868">+BC499-BC498</f>
        <v>931237</v>
      </c>
      <c r="BB499" s="66"/>
      <c r="BC499" s="66">
        <v>520411488</v>
      </c>
      <c r="BD499" s="66"/>
      <c r="BE499" s="66">
        <f t="shared" ref="BE499" si="1869">+D499</f>
        <v>61651</v>
      </c>
      <c r="BF499" s="66"/>
      <c r="BG499" s="144">
        <f t="shared" ref="BG499" si="1870">+BE499/BA499</f>
        <v>6.6203340288240264E-2</v>
      </c>
      <c r="BH499" s="66"/>
      <c r="BI499" s="170"/>
      <c r="BJ499" s="66"/>
      <c r="BK499" s="66">
        <f t="shared" ref="BK499" si="1871">SUM(BA493:BA499)</f>
        <v>5199462</v>
      </c>
      <c r="BL499" s="66"/>
      <c r="BM499" s="144">
        <f t="shared" ref="BM499" si="1872">+Q499/BK499</f>
        <v>5.4211762678523276E-2</v>
      </c>
      <c r="BN499" s="65">
        <f t="shared" ref="BN499" si="1873">+BC499/BW499</f>
        <v>1062064.2612244899</v>
      </c>
      <c r="BO499" s="66"/>
      <c r="BP499" s="66">
        <f t="shared" ref="BP499" si="1874">+BP498+BE499</f>
        <v>33676658</v>
      </c>
      <c r="BQ499" s="66"/>
      <c r="BR499" s="435">
        <f t="shared" ref="BR499" si="1875">+BP499/BC499</f>
        <v>6.4711596066841626E-2</v>
      </c>
      <c r="BS499" s="66"/>
      <c r="BT499" s="75"/>
      <c r="BU499" s="170"/>
      <c r="BV499" s="1"/>
      <c r="BW499" s="61">
        <f t="shared" si="1175"/>
        <v>490</v>
      </c>
    </row>
    <row r="500" spans="2:75" x14ac:dyDescent="0.3">
      <c r="B500" s="158">
        <f t="shared" si="424"/>
        <v>44400</v>
      </c>
      <c r="C500" s="61"/>
      <c r="D500" s="17">
        <v>67485</v>
      </c>
      <c r="E500" s="16"/>
      <c r="F500" s="16"/>
      <c r="G500" s="16"/>
      <c r="H500" s="16">
        <f t="shared" ref="H500" si="1876">+H499+D500</f>
        <v>34651121</v>
      </c>
      <c r="I500" s="16"/>
      <c r="J500" s="436">
        <f t="shared" ref="J500" si="1877">+D500/H499</f>
        <v>1.9513564160807152E-3</v>
      </c>
      <c r="K500" s="16"/>
      <c r="L500" s="16"/>
      <c r="M500" s="16"/>
      <c r="N500" s="16">
        <f t="shared" ref="N500" si="1878">SUM(D494:D500)</f>
        <v>308828</v>
      </c>
      <c r="O500" s="16">
        <f t="shared" ref="O500" si="1879">+H500/BW500</f>
        <v>70572.547861507133</v>
      </c>
      <c r="P500" s="41"/>
      <c r="Q500" s="17">
        <f t="shared" ref="Q500" si="1880">SUM(D494:D500)</f>
        <v>308828</v>
      </c>
      <c r="R500" s="16"/>
      <c r="S500" s="60">
        <f t="shared" ref="S500" si="1881">+(Q500-Q493)/Q493</f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ref="Z500" si="1882">SUM(W495:W500)</f>
        <v>1684</v>
      </c>
      <c r="AA500" s="33">
        <f t="shared" ref="AA500" si="1883">+AA499+W500</f>
        <v>610559</v>
      </c>
      <c r="AB500" s="33"/>
      <c r="AC500" s="46">
        <f t="shared" ref="AC500" si="1884">+AA500/H500</f>
        <v>1.7620180311049678E-2</v>
      </c>
      <c r="AD500" s="33"/>
      <c r="AE500" s="33">
        <f t="shared" ref="AE500" si="1885">+AA500/BW500</f>
        <v>1243.5010183299389</v>
      </c>
      <c r="AF500" s="50"/>
      <c r="AG500" s="33">
        <f t="shared" ref="AG500" si="1886">SUM(W494:W500)</f>
        <v>1797</v>
      </c>
      <c r="AH500" s="33">
        <f t="shared" ref="AH500" si="1887">SUM(D471:D943)</f>
        <v>1122058512.060914</v>
      </c>
      <c r="AI500" s="213">
        <f t="shared" ref="AI500" si="1888">+(AG500-AG493)/AG493</f>
        <v>0.22829801777170197</v>
      </c>
      <c r="AJ500" s="50"/>
      <c r="AK500" s="111"/>
      <c r="AL500" s="23">
        <f t="shared" ref="AL500" si="1889">+AP500-AP499</f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ref="AR500" si="1890">+AL500/AP499</f>
        <v>6.6835892441502399E-4</v>
      </c>
      <c r="AS500" s="25"/>
      <c r="AT500" s="25"/>
      <c r="AU500" s="24"/>
      <c r="AV500" s="298">
        <f t="shared" ref="AV500" si="1891">+AP500/H500</f>
        <v>0.85128198305619029</v>
      </c>
      <c r="AW500" s="298"/>
      <c r="AX500" s="24">
        <f t="shared" ref="AX500" si="1892">+AP500/BW500</f>
        <v>60077.138492871687</v>
      </c>
      <c r="AY500" s="308"/>
      <c r="AZ500" s="111"/>
      <c r="BA500" s="65">
        <f t="shared" ref="BA500" si="1893">+BC500-BC499</f>
        <v>930368</v>
      </c>
      <c r="BB500" s="66"/>
      <c r="BC500" s="66">
        <v>521341856</v>
      </c>
      <c r="BD500" s="66"/>
      <c r="BE500" s="66">
        <f t="shared" ref="BE500" si="1894">+D500</f>
        <v>67485</v>
      </c>
      <c r="BF500" s="66"/>
      <c r="BG500" s="144">
        <f t="shared" ref="BG500" si="1895">+BE500/BA500</f>
        <v>7.2535813785512826E-2</v>
      </c>
      <c r="BH500" s="66"/>
      <c r="BI500" s="170"/>
      <c r="BJ500" s="66"/>
      <c r="BK500" s="66">
        <f t="shared" ref="BK500" si="1896">SUM(BA494:BA500)</f>
        <v>5277054</v>
      </c>
      <c r="BL500" s="66"/>
      <c r="BM500" s="144">
        <f t="shared" ref="BM500" si="1897">+Q500/BK500</f>
        <v>5.8522804579979666E-2</v>
      </c>
      <c r="BN500" s="65">
        <f t="shared" ref="BN500" si="1898">+BC500/BW500</f>
        <v>1061796.0407331975</v>
      </c>
      <c r="BO500" s="66"/>
      <c r="BP500" s="66">
        <f t="shared" ref="BP500" si="1899">+BP499+BE500</f>
        <v>33744143</v>
      </c>
      <c r="BQ500" s="66"/>
      <c r="BR500" s="435">
        <f t="shared" ref="BR500" si="1900">+BP500/BC500</f>
        <v>6.4725558885492598E-2</v>
      </c>
      <c r="BS500" s="66"/>
      <c r="BT500" s="75"/>
      <c r="BU500" s="170"/>
      <c r="BV500" s="1"/>
      <c r="BW500" s="61">
        <f t="shared" si="1175"/>
        <v>491</v>
      </c>
    </row>
    <row r="501" spans="2:75" x14ac:dyDescent="0.3">
      <c r="B501" s="158">
        <f t="shared" si="424"/>
        <v>44401</v>
      </c>
      <c r="C501" s="61"/>
      <c r="D501" s="17">
        <v>36779</v>
      </c>
      <c r="E501" s="16"/>
      <c r="F501" s="16"/>
      <c r="G501" s="16"/>
      <c r="H501" s="16">
        <f t="shared" ref="H501" si="1901">+H500+D501</f>
        <v>34687900</v>
      </c>
      <c r="I501" s="16"/>
      <c r="J501" s="436">
        <f t="shared" ref="J501" si="1902">+D501/H500</f>
        <v>1.061408662651924E-3</v>
      </c>
      <c r="K501" s="16"/>
      <c r="L501" s="16"/>
      <c r="M501" s="16"/>
      <c r="N501" s="16">
        <f t="shared" ref="N501" si="1903">SUM(D495:D501)</f>
        <v>321526</v>
      </c>
      <c r="O501" s="16">
        <f t="shared" ref="O501" si="1904">+H501/BW501</f>
        <v>70503.861788617884</v>
      </c>
      <c r="P501" s="41"/>
      <c r="Q501" s="17">
        <f t="shared" ref="Q501" si="1905">SUM(D495:D501)</f>
        <v>321526</v>
      </c>
      <c r="R501" s="16"/>
      <c r="S501" s="60">
        <f t="shared" ref="S501" si="1906">+(Q501-Q494)/Q494</f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ref="Z501" si="1907">SUM(W496:W501)</f>
        <v>1753</v>
      </c>
      <c r="AA501" s="33">
        <f t="shared" ref="AA501" si="1908">+AA500+W501</f>
        <v>610710</v>
      </c>
      <c r="AB501" s="33"/>
      <c r="AC501" s="46">
        <f t="shared" ref="AC501" si="1909">+AA501/H501</f>
        <v>1.7605851031627744E-2</v>
      </c>
      <c r="AD501" s="33"/>
      <c r="AE501" s="33">
        <f t="shared" ref="AE501" si="1910">+AA501/BW501</f>
        <v>1241.280487804878</v>
      </c>
      <c r="AF501" s="50"/>
      <c r="AG501" s="33">
        <f t="shared" ref="AG501" si="1911">SUM(W495:W501)</f>
        <v>1835</v>
      </c>
      <c r="AH501" s="33">
        <f t="shared" ref="AH501" si="1912">SUM(D472:D944)</f>
        <v>1122043052.060914</v>
      </c>
      <c r="AI501" s="213">
        <f t="shared" ref="AI501" si="1913">+(AG501-AG494)/AG494</f>
        <v>0.25857338820301784</v>
      </c>
      <c r="AJ501" s="50"/>
      <c r="AK501" s="111"/>
      <c r="AL501" s="23">
        <f t="shared" ref="AL501" si="1914">+AP501-AP500</f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ref="AR501" si="1915">+AL501/AP500</f>
        <v>3.1351410906717855E-4</v>
      </c>
      <c r="AS501" s="25"/>
      <c r="AT501" s="25"/>
      <c r="AU501" s="24"/>
      <c r="AV501" s="298">
        <f t="shared" ref="AV501" si="1916">+AP501/H501</f>
        <v>0.85064598894715449</v>
      </c>
      <c r="AW501" s="298"/>
      <c r="AX501" s="24">
        <f t="shared" ref="AX501" si="1917">+AP501/BW501</f>
        <v>59973.827235772354</v>
      </c>
      <c r="AY501" s="308"/>
      <c r="AZ501" s="111"/>
      <c r="BA501" s="65">
        <f t="shared" ref="BA501" si="1918">+BC501-BC500</f>
        <v>393453</v>
      </c>
      <c r="BB501" s="66"/>
      <c r="BC501" s="66">
        <v>521735309</v>
      </c>
      <c r="BD501" s="66"/>
      <c r="BE501" s="66">
        <f t="shared" ref="BE501" si="1919">+D501</f>
        <v>36779</v>
      </c>
      <c r="BF501" s="66"/>
      <c r="BG501" s="144">
        <f t="shared" ref="BG501" si="1920">+BE501/BA501</f>
        <v>9.3477492864459027E-2</v>
      </c>
      <c r="BH501" s="66"/>
      <c r="BI501" s="170"/>
      <c r="BJ501" s="66"/>
      <c r="BK501" s="66">
        <f t="shared" ref="BK501" si="1921">SUM(BA495:BA501)</f>
        <v>5457647</v>
      </c>
      <c r="BL501" s="66"/>
      <c r="BM501" s="144">
        <f t="shared" ref="BM501" si="1922">+Q501/BK501</f>
        <v>5.8912934456918892E-2</v>
      </c>
      <c r="BN501" s="65">
        <f t="shared" ref="BN501" si="1923">+BC501/BW501</f>
        <v>1060437.6199186991</v>
      </c>
      <c r="BO501" s="66"/>
      <c r="BP501" s="66">
        <f t="shared" ref="BP501" si="1924">+BP500+BE501</f>
        <v>33780922</v>
      </c>
      <c r="BQ501" s="66"/>
      <c r="BR501" s="435">
        <f t="shared" ref="BR501" si="1925">+BP501/BC501</f>
        <v>6.4747241402440717E-2</v>
      </c>
      <c r="BS501" s="66"/>
      <c r="BT501" s="75"/>
      <c r="BU501" s="170"/>
      <c r="BV501" s="1"/>
      <c r="BW501" s="61">
        <f t="shared" si="1175"/>
        <v>492</v>
      </c>
    </row>
    <row r="502" spans="2:75" x14ac:dyDescent="0.3">
      <c r="B502" s="347">
        <f t="shared" si="424"/>
        <v>44402</v>
      </c>
      <c r="C502" s="61"/>
      <c r="D502" s="17">
        <v>13818</v>
      </c>
      <c r="E502" s="16"/>
      <c r="F502" s="16"/>
      <c r="G502" s="16"/>
      <c r="H502" s="16">
        <f t="shared" ref="H502" si="1926">+H501+D502</f>
        <v>34701718</v>
      </c>
      <c r="I502" s="16"/>
      <c r="J502" s="436">
        <f t="shared" ref="J502" si="1927">+D502/H501</f>
        <v>3.9835216314622676E-4</v>
      </c>
      <c r="K502" s="16"/>
      <c r="L502" s="16"/>
      <c r="M502" s="16"/>
      <c r="N502" s="16">
        <f t="shared" ref="N502" si="1928">SUM(D496:D502)</f>
        <v>313066</v>
      </c>
      <c r="O502" s="16">
        <f t="shared" ref="O502" si="1929">+H502/BW502</f>
        <v>70388.880324543614</v>
      </c>
      <c r="P502" s="41"/>
      <c r="Q502" s="17">
        <f t="shared" ref="Q502" si="1930">SUM(D496:D502)</f>
        <v>313066</v>
      </c>
      <c r="R502" s="16"/>
      <c r="S502" s="60">
        <f t="shared" ref="S502" si="1931">+(Q502-Q495)/Q495</f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ref="Z502" si="1932">SUM(W497:W502)</f>
        <v>1665</v>
      </c>
      <c r="AA502" s="33">
        <f t="shared" ref="AA502" si="1933">+AA501+W502</f>
        <v>610759</v>
      </c>
      <c r="AB502" s="33"/>
      <c r="AC502" s="46">
        <f t="shared" ref="AC502" si="1934">+AA502/H502</f>
        <v>1.7600252529283995E-2</v>
      </c>
      <c r="AD502" s="33"/>
      <c r="AE502" s="33">
        <f t="shared" ref="AE502" si="1935">+AA502/BW502</f>
        <v>1238.8620689655172</v>
      </c>
      <c r="AF502" s="50"/>
      <c r="AG502" s="33">
        <f t="shared" ref="AG502" si="1936">SUM(W496:W502)</f>
        <v>1802</v>
      </c>
      <c r="AH502" s="33">
        <f t="shared" ref="AH502" si="1937">SUM(D473:D945)</f>
        <v>1122027515.060914</v>
      </c>
      <c r="AI502" s="213">
        <f t="shared" ref="AI502" si="1938">+(AG502-AG495)/AG495</f>
        <v>0.19101123595505617</v>
      </c>
      <c r="AJ502" s="50"/>
      <c r="AK502" s="111"/>
      <c r="AL502" s="23">
        <f t="shared" ref="AL502" si="1939">+AP502-AP501</f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ref="AR502" si="1940">+AL502/AP501</f>
        <v>1.6219812416141011E-4</v>
      </c>
      <c r="AS502" s="25"/>
      <c r="AT502" s="25"/>
      <c r="AU502" s="24"/>
      <c r="AV502" s="298">
        <f t="shared" ref="AV502" si="1941">+AP502/H502</f>
        <v>0.85044518545162517</v>
      </c>
      <c r="AW502" s="298"/>
      <c r="AX502" s="24">
        <f t="shared" ref="AX502" si="1942">+AP502/BW502</f>
        <v>59861.884381338743</v>
      </c>
      <c r="AY502" s="308"/>
      <c r="AZ502" s="111"/>
      <c r="BA502" s="65">
        <f t="shared" ref="BA502" si="1943">+BC502-BC501</f>
        <v>1873647</v>
      </c>
      <c r="BB502" s="66"/>
      <c r="BC502" s="66">
        <v>523608956</v>
      </c>
      <c r="BD502" s="66"/>
      <c r="BE502" s="66">
        <f t="shared" ref="BE502" si="1944">+D502</f>
        <v>13818</v>
      </c>
      <c r="BF502" s="66"/>
      <c r="BG502" s="144">
        <f t="shared" ref="BG502" si="1945">+BE502/BA502</f>
        <v>7.3749217435301311E-3</v>
      </c>
      <c r="BH502" s="66"/>
      <c r="BI502" s="170"/>
      <c r="BJ502" s="66"/>
      <c r="BK502" s="66">
        <f t="shared" ref="BK502" si="1946">SUM(BA496:BA502)</f>
        <v>6238420</v>
      </c>
      <c r="BL502" s="66"/>
      <c r="BM502" s="144">
        <f t="shared" ref="BM502" si="1947">+Q502/BK502</f>
        <v>5.0183540063028782E-2</v>
      </c>
      <c r="BN502" s="65">
        <f t="shared" ref="BN502" si="1948">+BC502/BW502</f>
        <v>1062087.1318458419</v>
      </c>
      <c r="BO502" s="66"/>
      <c r="BP502" s="66">
        <f t="shared" ref="BP502" si="1949">+BP501+BE502</f>
        <v>33794740</v>
      </c>
      <c r="BQ502" s="66"/>
      <c r="BR502" s="435">
        <f t="shared" ref="BR502" si="1950">+BP502/BC502</f>
        <v>6.4541944160328685E-2</v>
      </c>
      <c r="BS502" s="66"/>
      <c r="BT502" s="75"/>
      <c r="BU502" s="170"/>
      <c r="BV502" s="1"/>
      <c r="BW502" s="61">
        <f t="shared" si="1175"/>
        <v>493</v>
      </c>
    </row>
    <row r="503" spans="2:75" x14ac:dyDescent="0.3">
      <c r="B503" s="158">
        <f t="shared" si="424"/>
        <v>44403</v>
      </c>
      <c r="C503" s="61"/>
      <c r="D503" s="17">
        <v>35816</v>
      </c>
      <c r="E503" s="16"/>
      <c r="F503" s="16"/>
      <c r="G503" s="16"/>
      <c r="H503" s="16">
        <f t="shared" ref="H503" si="1951">+H502+D503</f>
        <v>34737534</v>
      </c>
      <c r="I503" s="16"/>
      <c r="J503" s="436">
        <f t="shared" ref="J503" si="1952">+D503/H502</f>
        <v>1.0321102834159393E-3</v>
      </c>
      <c r="K503" s="16"/>
      <c r="L503" s="16"/>
      <c r="M503" s="16"/>
      <c r="N503" s="16">
        <f t="shared" ref="N503" si="1953">SUM(D497:D503)</f>
        <v>316306</v>
      </c>
      <c r="O503" s="16">
        <f t="shared" ref="O503" si="1954">+H503/BW503</f>
        <v>70318.894736842107</v>
      </c>
      <c r="P503" s="41"/>
      <c r="Q503" s="17">
        <f t="shared" ref="Q503" si="1955">SUM(D497:D503)</f>
        <v>316306</v>
      </c>
      <c r="R503" s="16"/>
      <c r="S503" s="60">
        <f t="shared" ref="S503" si="1956">+(Q503-Q496)/Q496</f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ref="Z503" si="1957">SUM(W498:W503)</f>
        <v>1541</v>
      </c>
      <c r="AA503" s="33">
        <f t="shared" ref="AA503" si="1958">+AA502+W503</f>
        <v>610891</v>
      </c>
      <c r="AB503" s="33"/>
      <c r="AC503" s="46">
        <f t="shared" ref="AC503" si="1959">+AA503/H503</f>
        <v>1.7585905781337272E-2</v>
      </c>
      <c r="AD503" s="33"/>
      <c r="AE503" s="33">
        <f t="shared" ref="AE503" si="1960">+AA503/BW503</f>
        <v>1236.6214574898786</v>
      </c>
      <c r="AF503" s="50"/>
      <c r="AG503" s="33">
        <f t="shared" ref="AG503" si="1961">SUM(W497:W503)</f>
        <v>1797</v>
      </c>
      <c r="AH503" s="33">
        <f t="shared" ref="AH503" si="1962">SUM(D474:D946)</f>
        <v>1122020929.060914</v>
      </c>
      <c r="AI503" s="213">
        <f t="shared" ref="AI503" si="1963">+(AG503-AG496)/AG496</f>
        <v>0.20847343644922664</v>
      </c>
      <c r="AJ503" s="50"/>
      <c r="AK503" s="111"/>
      <c r="AL503" s="23">
        <f t="shared" ref="AL503" si="1964">+AP503-AP502</f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ref="AR503" si="1965">+AL503/AP502</f>
        <v>1.2387880431591193E-3</v>
      </c>
      <c r="AS503" s="25"/>
      <c r="AT503" s="25"/>
      <c r="AU503" s="24"/>
      <c r="AV503" s="298">
        <f t="shared" ref="AV503" si="1966">+AP503/H503</f>
        <v>0.85062077233231348</v>
      </c>
      <c r="AW503" s="298"/>
      <c r="AX503" s="24">
        <f t="shared" ref="AX503" si="1967">+AP503/BW503</f>
        <v>59814.712550607284</v>
      </c>
      <c r="AY503" s="308"/>
      <c r="AZ503" s="111"/>
      <c r="BA503" s="65">
        <f t="shared" ref="BA503" si="1968">+BC503-BC502</f>
        <v>2374930</v>
      </c>
      <c r="BB503" s="66"/>
      <c r="BC503" s="66">
        <v>525983886</v>
      </c>
      <c r="BD503" s="66"/>
      <c r="BE503" s="66">
        <f t="shared" ref="BE503" si="1969">+D503</f>
        <v>35816</v>
      </c>
      <c r="BF503" s="66"/>
      <c r="BG503" s="144">
        <f t="shared" ref="BG503" si="1970">+BE503/BA503</f>
        <v>1.5080865541300165E-2</v>
      </c>
      <c r="BH503" s="66"/>
      <c r="BI503" s="170"/>
      <c r="BJ503" s="66"/>
      <c r="BK503" s="66">
        <f t="shared" ref="BK503" si="1971">SUM(BA497:BA503)</f>
        <v>7998724</v>
      </c>
      <c r="BL503" s="66"/>
      <c r="BM503" s="144">
        <f t="shared" ref="BM503" si="1972">+Q503/BK503</f>
        <v>3.9544557356898428E-2</v>
      </c>
      <c r="BN503" s="65">
        <f t="shared" ref="BN503" si="1973">+BC503/BW503</f>
        <v>1064744.7085020242</v>
      </c>
      <c r="BO503" s="66"/>
      <c r="BP503" s="66">
        <f t="shared" ref="BP503" si="1974">+BP502+BE503</f>
        <v>33830556</v>
      </c>
      <c r="BQ503" s="66"/>
      <c r="BR503" s="435">
        <f t="shared" ref="BR503" si="1975">+BP503/BC503</f>
        <v>6.4318616787435196E-2</v>
      </c>
      <c r="BS503" s="66"/>
      <c r="BT503" s="75"/>
      <c r="BU503" s="170"/>
      <c r="BV503" s="1"/>
      <c r="BW503" s="61">
        <f t="shared" si="1175"/>
        <v>494</v>
      </c>
    </row>
    <row r="504" spans="2:75" x14ac:dyDescent="0.3">
      <c r="B504" s="158">
        <f t="shared" si="424"/>
        <v>44404</v>
      </c>
      <c r="C504" s="61"/>
      <c r="D504" s="17">
        <v>61581</v>
      </c>
      <c r="E504" s="16"/>
      <c r="F504" s="16"/>
      <c r="G504" s="16"/>
      <c r="H504" s="16">
        <f t="shared" ref="H504" si="1976">+H503+D504</f>
        <v>34799115</v>
      </c>
      <c r="I504" s="16"/>
      <c r="J504" s="436">
        <f t="shared" ref="J504" si="1977">+D504/H503</f>
        <v>1.7727510536585584E-3</v>
      </c>
      <c r="K504" s="16"/>
      <c r="L504" s="16"/>
      <c r="M504" s="16"/>
      <c r="N504" s="16">
        <f t="shared" ref="N504" si="1978">SUM(D498:D504)</f>
        <v>333655</v>
      </c>
      <c r="O504" s="16">
        <f t="shared" ref="O504" si="1979">+H504/BW504</f>
        <v>70301.242424242431</v>
      </c>
      <c r="P504" s="41"/>
      <c r="Q504" s="17">
        <f t="shared" ref="Q504" si="1980">SUM(D498:D504)</f>
        <v>333655</v>
      </c>
      <c r="R504" s="16"/>
      <c r="S504" s="60">
        <f t="shared" ref="S504" si="1981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" si="1982">SUM(W499:W504)</f>
        <v>1464</v>
      </c>
      <c r="AA504" s="33">
        <f t="shared" ref="AA504" si="1983">+AA503+W504</f>
        <v>611230</v>
      </c>
      <c r="AB504" s="33"/>
      <c r="AC504" s="46">
        <f t="shared" ref="AC504" si="1984">+AA504/H504</f>
        <v>1.7564527143865583E-2</v>
      </c>
      <c r="AD504" s="33"/>
      <c r="AE504" s="33">
        <f t="shared" ref="AE504" si="1985">+AA504/BW504</f>
        <v>1234.8080808080808</v>
      </c>
      <c r="AF504" s="50"/>
      <c r="AG504" s="33">
        <f t="shared" ref="AG504" si="1986">SUM(W498:W504)</f>
        <v>1880</v>
      </c>
      <c r="AH504" s="33">
        <f t="shared" ref="AH504" si="1987">SUM(D475:D947)</f>
        <v>1122013623.060914</v>
      </c>
      <c r="AI504" s="213">
        <f t="shared" ref="AI504" si="1988">+(AG504-AG497)/AG497</f>
        <v>0.19592875318066158</v>
      </c>
      <c r="AJ504" s="50"/>
      <c r="AK504" s="111"/>
      <c r="AL504" s="23">
        <f t="shared" ref="AL504" si="1989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" si="1990">+AL504/AP503</f>
        <v>7.7723149640109934E-4</v>
      </c>
      <c r="AS504" s="25"/>
      <c r="AT504" s="25"/>
      <c r="AU504" s="24"/>
      <c r="AV504" s="298">
        <f t="shared" ref="AV504" si="1991">+AP504/H504</f>
        <v>0.84977546124377012</v>
      </c>
      <c r="AW504" s="298"/>
      <c r="AX504" s="24">
        <f t="shared" ref="AX504" si="1992">+AP504/BW504</f>
        <v>59740.270707070704</v>
      </c>
      <c r="AY504" s="308"/>
      <c r="AZ504" s="111"/>
      <c r="BA504" s="65">
        <f t="shared" ref="BA504:BA505" si="1993">+BC504-BC503</f>
        <v>892346</v>
      </c>
      <c r="BB504" s="66"/>
      <c r="BC504" s="66">
        <v>526876232</v>
      </c>
      <c r="BD504" s="66"/>
      <c r="BE504" s="66">
        <f t="shared" ref="BE504" si="1994">+D504</f>
        <v>61581</v>
      </c>
      <c r="BF504" s="66"/>
      <c r="BG504" s="144">
        <f t="shared" ref="BG504" si="1995">+BE504/BA504</f>
        <v>6.9010226974738492E-2</v>
      </c>
      <c r="BH504" s="66"/>
      <c r="BI504" s="170"/>
      <c r="BJ504" s="66"/>
      <c r="BK504" s="66">
        <f t="shared" ref="BK504" si="1996">SUM(BA498:BA504)</f>
        <v>8218001</v>
      </c>
      <c r="BL504" s="66"/>
      <c r="BM504" s="144">
        <f t="shared" ref="BM504" si="1997">+Q504/BK504</f>
        <v>4.060050613281746E-2</v>
      </c>
      <c r="BN504" s="65">
        <f t="shared" ref="BN504" si="1998">+BC504/BW504</f>
        <v>1064396.4282828283</v>
      </c>
      <c r="BO504" s="66"/>
      <c r="BP504" s="66">
        <f t="shared" ref="BP504" si="1999">+BP503+BE504</f>
        <v>33892137</v>
      </c>
      <c r="BQ504" s="66"/>
      <c r="BR504" s="435">
        <f t="shared" ref="BR504" si="2000">+BP504/BC504</f>
        <v>6.4326562751458483E-2</v>
      </c>
      <c r="BS504" s="66"/>
      <c r="BT504" s="75"/>
      <c r="BU504" s="170"/>
      <c r="BV504" s="1"/>
      <c r="BW504" s="61">
        <f t="shared" si="1175"/>
        <v>495</v>
      </c>
    </row>
    <row r="505" spans="2:75" x14ac:dyDescent="0.3">
      <c r="B505" s="158">
        <f t="shared" si="424"/>
        <v>44405</v>
      </c>
      <c r="C505" s="61"/>
      <c r="D505" s="17">
        <v>84534</v>
      </c>
      <c r="E505" s="16"/>
      <c r="F505" s="16"/>
      <c r="G505" s="16"/>
      <c r="H505" s="16">
        <f t="shared" ref="H505" si="2001">+H504+D505</f>
        <v>34883649</v>
      </c>
      <c r="I505" s="16"/>
      <c r="J505" s="436">
        <f t="shared" ref="J505" si="2002">+D505/H504</f>
        <v>2.4291997080960249E-3</v>
      </c>
      <c r="K505" s="16"/>
      <c r="L505" s="16"/>
      <c r="M505" s="16"/>
      <c r="N505" s="16">
        <f t="shared" ref="N505" si="2003">SUM(D499:D505)</f>
        <v>361664</v>
      </c>
      <c r="O505" s="16">
        <f t="shared" ref="O505" si="2004">+H505/BW505</f>
        <v>70329.9375</v>
      </c>
      <c r="P505" s="41"/>
      <c r="Q505" s="17">
        <f t="shared" ref="Q505" si="2005">SUM(D499:D505)</f>
        <v>361664</v>
      </c>
      <c r="R505" s="16"/>
      <c r="S505" s="60">
        <f t="shared" ref="S505" si="2006">+(Q505-Q498)/Q498</f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ref="Z505" si="2007">SUM(W500:W505)</f>
        <v>1582</v>
      </c>
      <c r="AA505" s="33">
        <f t="shared" ref="AA505" si="2008">+AA504+W505</f>
        <v>611713</v>
      </c>
      <c r="AB505" s="33"/>
      <c r="AC505" s="46">
        <f t="shared" ref="AC505" si="2009">+AA505/H505</f>
        <v>1.7535808825504463E-2</v>
      </c>
      <c r="AD505" s="33"/>
      <c r="AE505" s="33">
        <f t="shared" ref="AE505" si="2010">+AA505/BW505</f>
        <v>1233.2923387096773</v>
      </c>
      <c r="AF505" s="50"/>
      <c r="AG505" s="33">
        <f t="shared" ref="AG505" si="2011">SUM(W499:W505)</f>
        <v>1947</v>
      </c>
      <c r="AH505" s="33">
        <f t="shared" ref="AH505" si="2012">SUM(D476:D948)</f>
        <v>1122001641.060914</v>
      </c>
      <c r="AI505" s="213">
        <f t="shared" ref="AI505" si="2013">+(AG505-AG498)/AG498</f>
        <v>0.18647166361974407</v>
      </c>
      <c r="AJ505" s="50"/>
      <c r="AK505" s="111"/>
      <c r="AL505" s="23">
        <f t="shared" ref="AL505" si="2014">+AP505-AP504</f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ref="AR505" si="2015">+AL505/AP504</f>
        <v>1.0998452087240679E-3</v>
      </c>
      <c r="AS505" s="25"/>
      <c r="AT505" s="25"/>
      <c r="AU505" s="24"/>
      <c r="AV505" s="298">
        <f t="shared" ref="AV505" si="2016">+AP505/H505</f>
        <v>0.84864854591330163</v>
      </c>
      <c r="AW505" s="298"/>
      <c r="AX505" s="24">
        <f t="shared" ref="AX505" si="2017">+AP505/BW505</f>
        <v>59685.399193548386</v>
      </c>
      <c r="AY505" s="308"/>
      <c r="AZ505" s="111"/>
      <c r="BA505" s="65">
        <f t="shared" si="1993"/>
        <v>204920</v>
      </c>
      <c r="BB505" s="66"/>
      <c r="BC505" s="66">
        <v>527081152</v>
      </c>
      <c r="BD505" s="66"/>
      <c r="BE505" s="66">
        <f t="shared" ref="BE505" si="2018">+D505</f>
        <v>84534</v>
      </c>
      <c r="BF505" s="66"/>
      <c r="BG505" s="144">
        <f t="shared" ref="BG505" si="2019">+BE505/BA505</f>
        <v>0.41252195978918604</v>
      </c>
      <c r="BH505" s="66"/>
      <c r="BI505" s="170"/>
      <c r="BJ505" s="66"/>
      <c r="BK505" s="66">
        <f t="shared" ref="BK505" si="2020">SUM(BA499:BA505)</f>
        <v>7600901</v>
      </c>
      <c r="BL505" s="66"/>
      <c r="BM505" s="144">
        <f t="shared" ref="BM505" si="2021">+Q505/BK505</f>
        <v>4.7581727482044561E-2</v>
      </c>
      <c r="BN505" s="65">
        <f t="shared" ref="BN505" si="2022">+BC505/BW505</f>
        <v>1062663.6129032257</v>
      </c>
      <c r="BO505" s="66"/>
      <c r="BP505" s="66">
        <f t="shared" ref="BP505" si="2023">+BP504+BE505</f>
        <v>33976671</v>
      </c>
      <c r="BQ505" s="66"/>
      <c r="BR505" s="435">
        <f t="shared" ref="BR505" si="2024">+BP505/BC505</f>
        <v>6.4461935075986174E-2</v>
      </c>
      <c r="BS505" s="66"/>
      <c r="BT505" s="75"/>
      <c r="BU505" s="170"/>
      <c r="BV505" s="1"/>
      <c r="BW505" s="61">
        <f t="shared" si="1175"/>
        <v>496</v>
      </c>
    </row>
    <row r="506" spans="2:75" x14ac:dyDescent="0.3">
      <c r="B506" s="158">
        <f t="shared" si="424"/>
        <v>44406</v>
      </c>
      <c r="C506" s="61"/>
      <c r="D506" s="17">
        <v>84513</v>
      </c>
      <c r="E506" s="16"/>
      <c r="F506" s="16"/>
      <c r="G506" s="16"/>
      <c r="H506" s="16">
        <f t="shared" ref="H506" si="2025">+H505+D506</f>
        <v>34968162</v>
      </c>
      <c r="I506" s="16"/>
      <c r="J506" s="436">
        <f t="shared" ref="J506" si="2026">+D506/H505</f>
        <v>2.422710995630073E-3</v>
      </c>
      <c r="K506" s="16"/>
      <c r="L506" s="16"/>
      <c r="M506" s="16"/>
      <c r="N506" s="16">
        <f t="shared" ref="N506" si="2027">SUM(D500:D506)</f>
        <v>384526</v>
      </c>
      <c r="O506" s="16">
        <f t="shared" ref="O506" si="2028">+H506/BW506</f>
        <v>70358.474849094564</v>
      </c>
      <c r="P506" s="41"/>
      <c r="Q506" s="17">
        <f t="shared" ref="Q506" si="2029">SUM(D500:D506)</f>
        <v>384526</v>
      </c>
      <c r="R506" s="16"/>
      <c r="S506" s="60">
        <f t="shared" ref="S506" si="2030">+(Q506-Q499)/Q499</f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ref="Z506" si="2031">SUM(W501:W506)</f>
        <v>1639</v>
      </c>
      <c r="AA506" s="33">
        <f t="shared" ref="AA506" si="2032">+AA505+W506</f>
        <v>612198</v>
      </c>
      <c r="AB506" s="33"/>
      <c r="AC506" s="46">
        <f t="shared" ref="AC506" si="2033">+AA506/H506</f>
        <v>1.7507297066400002E-2</v>
      </c>
      <c r="AD506" s="33"/>
      <c r="AE506" s="33">
        <f t="shared" ref="AE506" si="2034">+AA506/BW506</f>
        <v>1231.7867203219316</v>
      </c>
      <c r="AF506" s="50"/>
      <c r="AG506" s="33">
        <f t="shared" ref="AG506" si="2035">SUM(W500:W506)</f>
        <v>2067</v>
      </c>
      <c r="AH506" s="33">
        <f t="shared" ref="AH506" si="2036">SUM(D477:D949)</f>
        <v>1121990214.060914</v>
      </c>
      <c r="AI506" s="213">
        <f t="shared" ref="AI506" si="2037">+(AG506-AG499)/AG499</f>
        <v>0.24368231046931407</v>
      </c>
      <c r="AJ506" s="50"/>
      <c r="AK506" s="111" t="s">
        <v>26</v>
      </c>
      <c r="AL506" s="23">
        <f t="shared" ref="AL506" si="2038">+AP506-AP505</f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ref="AR506" si="2039">+AL506/AP505</f>
        <v>1.5552650088207799E-3</v>
      </c>
      <c r="AS506" s="25"/>
      <c r="AT506" s="25"/>
      <c r="AU506" s="24"/>
      <c r="AV506" s="298">
        <f t="shared" ref="AV506" si="2040">+AP506/H506</f>
        <v>0.84791416832260158</v>
      </c>
      <c r="AW506" s="298"/>
      <c r="AX506" s="24">
        <f t="shared" ref="AX506" si="2041">+AP506/BW506</f>
        <v>59657.947686116699</v>
      </c>
      <c r="AY506" s="308"/>
      <c r="AZ506" s="111" t="s">
        <v>26</v>
      </c>
      <c r="BA506" s="65">
        <f t="shared" ref="BA506" si="2042">+BC506-BC505</f>
        <v>218848</v>
      </c>
      <c r="BB506" s="66"/>
      <c r="BC506" s="66">
        <v>527300000</v>
      </c>
      <c r="BD506" s="66"/>
      <c r="BE506" s="66">
        <f t="shared" ref="BE506" si="2043">+D506</f>
        <v>84513</v>
      </c>
      <c r="BF506" s="66"/>
      <c r="BG506" s="144">
        <f t="shared" ref="BG506" si="2044">+BE506/BA506</f>
        <v>0.38617213773943559</v>
      </c>
      <c r="BH506" s="66"/>
      <c r="BI506" s="170"/>
      <c r="BJ506" s="66"/>
      <c r="BK506" s="66">
        <f t="shared" ref="BK506" si="2045">SUM(BA500:BA506)</f>
        <v>6888512</v>
      </c>
      <c r="BL506" s="66"/>
      <c r="BM506" s="144">
        <f t="shared" ref="BM506" si="2046">+Q506/BK506</f>
        <v>5.5821344290319881E-2</v>
      </c>
      <c r="BN506" s="65">
        <f t="shared" ref="BN506" si="2047">+BC506/BW506</f>
        <v>1060965.7947686117</v>
      </c>
      <c r="BO506" s="66"/>
      <c r="BP506" s="66">
        <f t="shared" ref="BP506" si="2048">+BP505+BE506</f>
        <v>34061184</v>
      </c>
      <c r="BQ506" s="66"/>
      <c r="BR506" s="435">
        <f t="shared" ref="BR506" si="2049">+BP506/BC506</f>
        <v>6.4595456097098422E-2</v>
      </c>
      <c r="BS506" s="66"/>
      <c r="BT506" s="75"/>
      <c r="BU506" s="170"/>
      <c r="BV506" s="1"/>
      <c r="BW506" s="61">
        <f t="shared" si="1175"/>
        <v>497</v>
      </c>
    </row>
    <row r="507" spans="2:75" x14ac:dyDescent="0.3">
      <c r="B507" s="158">
        <f t="shared" si="424"/>
        <v>44407</v>
      </c>
      <c r="C507" s="61"/>
      <c r="D507" s="17">
        <v>101098</v>
      </c>
      <c r="E507" s="16"/>
      <c r="F507" s="16"/>
      <c r="G507" s="16"/>
      <c r="H507" s="16">
        <f t="shared" ref="H507" si="2050">+H506+D507</f>
        <v>35069260</v>
      </c>
      <c r="I507" s="16"/>
      <c r="J507" s="436">
        <f t="shared" ref="J507" si="2051">+D507/H506</f>
        <v>2.8911442357193382E-3</v>
      </c>
      <c r="K507" s="16"/>
      <c r="L507" s="16"/>
      <c r="M507" s="16"/>
      <c r="N507" s="16">
        <f t="shared" ref="N507" si="2052">SUM(D501:D507)</f>
        <v>418139</v>
      </c>
      <c r="O507" s="16">
        <f t="shared" ref="O507" si="2053">+H507/BW507</f>
        <v>70420.200803212851</v>
      </c>
      <c r="P507" s="41"/>
      <c r="Q507" s="17">
        <f t="shared" ref="Q507" si="2054">SUM(D501:D507)</f>
        <v>418139</v>
      </c>
      <c r="R507" s="16"/>
      <c r="S507" s="60">
        <f t="shared" ref="S507" si="2055">+(Q507-Q500)/Q500</f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ref="Z507" si="2056">SUM(W502:W507)</f>
        <v>1917</v>
      </c>
      <c r="AA507" s="33">
        <f t="shared" ref="AA507" si="2057">+AA506+W507</f>
        <v>612627</v>
      </c>
      <c r="AB507" s="33"/>
      <c r="AC507" s="46">
        <f t="shared" ref="AC507" si="2058">+AA507/H507</f>
        <v>1.7469059797668957E-2</v>
      </c>
      <c r="AD507" s="33"/>
      <c r="AE507" s="33">
        <f t="shared" ref="AE507" si="2059">+AA507/BW507</f>
        <v>1230.1746987951808</v>
      </c>
      <c r="AF507" s="50"/>
      <c r="AG507" s="33">
        <f t="shared" ref="AG507" si="2060">SUM(W501:W507)</f>
        <v>2068</v>
      </c>
      <c r="AH507" s="33">
        <f t="shared" ref="AH507" si="2061">SUM(D478:D950)</f>
        <v>1121976017.060914</v>
      </c>
      <c r="AI507" s="213">
        <f t="shared" ref="AI507" si="2062">+(AG507-AG500)/AG500</f>
        <v>0.15080690038953812</v>
      </c>
      <c r="AJ507" s="50"/>
      <c r="AK507" s="111" t="s">
        <v>26</v>
      </c>
      <c r="AL507" s="23">
        <f t="shared" ref="AL507" si="2063">+AP507-AP506</f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ref="AR507" si="2064">+AL507/AP506</f>
        <v>6.8735244519392918E-5</v>
      </c>
      <c r="AS507" s="25"/>
      <c r="AT507" s="25"/>
      <c r="AU507" s="24"/>
      <c r="AV507" s="298">
        <f t="shared" ref="AV507" si="2065">+AP507/H507</f>
        <v>0.84552790677647605</v>
      </c>
      <c r="AW507" s="298"/>
      <c r="AX507" s="24">
        <f t="shared" ref="AX507" si="2066">+AP507/BW507</f>
        <v>59542.244979919677</v>
      </c>
      <c r="AY507" s="308"/>
      <c r="AZ507" s="111" t="s">
        <v>26</v>
      </c>
      <c r="BA507" s="65">
        <f t="shared" ref="BA507" si="2067">+BC507-BC506</f>
        <v>1878910</v>
      </c>
      <c r="BB507" s="66"/>
      <c r="BC507" s="66">
        <v>529178910</v>
      </c>
      <c r="BD507" s="66"/>
      <c r="BE507" s="66">
        <f t="shared" ref="BE507" si="2068">+D507</f>
        <v>101098</v>
      </c>
      <c r="BF507" s="66"/>
      <c r="BG507" s="144">
        <f t="shared" ref="BG507" si="2069">+BE507/BA507</f>
        <v>5.3806728369107618E-2</v>
      </c>
      <c r="BH507" s="66"/>
      <c r="BI507" s="170"/>
      <c r="BJ507" s="66"/>
      <c r="BK507" s="66">
        <f t="shared" ref="BK507" si="2070">SUM(BA501:BA507)</f>
        <v>7837054</v>
      </c>
      <c r="BL507" s="66"/>
      <c r="BM507" s="144">
        <f t="shared" ref="BM507" si="2071">+Q507/BK507</f>
        <v>5.3354104743950977E-2</v>
      </c>
      <c r="BN507" s="65">
        <f t="shared" ref="BN507" si="2072">+BC507/BW507</f>
        <v>1062608.2530120481</v>
      </c>
      <c r="BO507" s="66"/>
      <c r="BP507" s="66">
        <f t="shared" ref="BP507" si="2073">+BP506+BE507</f>
        <v>34162282</v>
      </c>
      <c r="BQ507" s="66"/>
      <c r="BR507" s="435">
        <f t="shared" ref="BR507" si="2074">+BP507/BC507</f>
        <v>6.4557149490330215E-2</v>
      </c>
      <c r="BS507" s="66"/>
      <c r="BT507" s="75"/>
      <c r="BU507" s="170"/>
      <c r="BV507" s="1"/>
      <c r="BW507" s="61">
        <f t="shared" si="1175"/>
        <v>498</v>
      </c>
    </row>
    <row r="508" spans="2:75" x14ac:dyDescent="0.3">
      <c r="B508" s="158">
        <f t="shared" si="424"/>
        <v>44408</v>
      </c>
      <c r="C508" s="61"/>
      <c r="D508" s="17">
        <v>51898</v>
      </c>
      <c r="E508" s="16"/>
      <c r="F508" s="16"/>
      <c r="G508" s="16"/>
      <c r="H508" s="16">
        <f t="shared" ref="H508" si="2075">+H507+D508</f>
        <v>35121158</v>
      </c>
      <c r="I508" s="16"/>
      <c r="J508" s="436">
        <f t="shared" ref="J508" si="2076">+D508/H507</f>
        <v>1.4798715456214361E-3</v>
      </c>
      <c r="K508" s="16"/>
      <c r="L508" s="16"/>
      <c r="M508" s="16"/>
      <c r="N508" s="16">
        <f t="shared" ref="N508" si="2077">SUM(D502:D508)</f>
        <v>433258</v>
      </c>
      <c r="O508" s="16">
        <f t="shared" ref="O508" si="2078">+H508/BW508</f>
        <v>70383.082164328662</v>
      </c>
      <c r="P508" s="41"/>
      <c r="Q508" s="17">
        <f t="shared" ref="Q508" si="2079">SUM(D502:D508)</f>
        <v>433258</v>
      </c>
      <c r="R508" s="16"/>
      <c r="S508" s="60">
        <f t="shared" ref="S508" si="2080">+(Q508-Q501)/Q501</f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ref="Z508" si="2081">SUM(W503:W508)</f>
        <v>2109</v>
      </c>
      <c r="AA508" s="33">
        <f t="shared" ref="AA508" si="2082">+AA507+W508</f>
        <v>612868</v>
      </c>
      <c r="AB508" s="33"/>
      <c r="AC508" s="46">
        <f t="shared" ref="AC508" si="2083">+AA508/H508</f>
        <v>1.7450107994730697E-2</v>
      </c>
      <c r="AD508" s="33"/>
      <c r="AE508" s="33">
        <f t="shared" ref="AE508" si="2084">+AA508/BW508</f>
        <v>1228.1923847695391</v>
      </c>
      <c r="AF508" s="50"/>
      <c r="AG508" s="33">
        <f t="shared" ref="AG508" si="2085">SUM(W502:W508)</f>
        <v>2158</v>
      </c>
      <c r="AH508" s="33">
        <f t="shared" ref="AH508" si="2086">SUM(D479:D951)</f>
        <v>1121959068.060914</v>
      </c>
      <c r="AI508" s="213">
        <f t="shared" ref="AI508" si="2087">+(AG508-AG501)/AG501</f>
        <v>0.17602179836512261</v>
      </c>
      <c r="AJ508" s="50"/>
      <c r="AK508" s="111"/>
      <c r="AL508" s="23">
        <f t="shared" ref="AL508" si="2088">+AP508-AP507</f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ref="AR508" si="2089">+AL508/AP507</f>
        <v>4.7480716165276734E-4</v>
      </c>
      <c r="AS508" s="25"/>
      <c r="AT508" s="25"/>
      <c r="AU508" s="24"/>
      <c r="AV508" s="298">
        <f t="shared" ref="AV508" si="2090">+AP508/H508</f>
        <v>0.84467935254298843</v>
      </c>
      <c r="AW508" s="298"/>
      <c r="AX508" s="24">
        <f t="shared" ref="AX508" si="2091">+AP508/BW508</f>
        <v>59451.136272545089</v>
      </c>
      <c r="AY508" s="308"/>
      <c r="AZ508" s="111"/>
      <c r="BA508" s="65">
        <f t="shared" ref="BA508" si="2092">+BC508-BC507</f>
        <v>500910</v>
      </c>
      <c r="BB508" s="66"/>
      <c r="BC508" s="66">
        <v>529679820</v>
      </c>
      <c r="BD508" s="66"/>
      <c r="BE508" s="66">
        <f t="shared" ref="BE508" si="2093">+D508</f>
        <v>51898</v>
      </c>
      <c r="BF508" s="66"/>
      <c r="BG508" s="144">
        <f t="shared" ref="BG508" si="2094">+BE508/BA508</f>
        <v>0.10360743446926593</v>
      </c>
      <c r="BH508" s="66"/>
      <c r="BI508" s="170"/>
      <c r="BJ508" s="66"/>
      <c r="BK508" s="66">
        <f t="shared" ref="BK508" si="2095">SUM(BA502:BA508)</f>
        <v>7944511</v>
      </c>
      <c r="BL508" s="66"/>
      <c r="BM508" s="144">
        <f t="shared" ref="BM508" si="2096">+Q508/BK508</f>
        <v>5.4535515150019934E-2</v>
      </c>
      <c r="BN508" s="65">
        <f t="shared" ref="BN508" si="2097">+BC508/BW508</f>
        <v>1061482.6052104209</v>
      </c>
      <c r="BO508" s="66"/>
      <c r="BP508" s="66">
        <f t="shared" ref="BP508" si="2098">+BP507+BE508</f>
        <v>34214180</v>
      </c>
      <c r="BQ508" s="66"/>
      <c r="BR508" s="435">
        <f t="shared" ref="BR508" si="2099">+BP508/BC508</f>
        <v>6.4594078739869679E-2</v>
      </c>
      <c r="BS508" s="66"/>
      <c r="BT508" s="75"/>
      <c r="BU508" s="170"/>
      <c r="BV508" s="1"/>
      <c r="BW508" s="61">
        <f t="shared" si="1175"/>
        <v>499</v>
      </c>
    </row>
    <row r="509" spans="2:75" x14ac:dyDescent="0.3">
      <c r="B509" s="347">
        <f t="shared" si="424"/>
        <v>44409</v>
      </c>
      <c r="C509" s="61"/>
      <c r="D509" s="17">
        <v>21768</v>
      </c>
      <c r="E509" s="16"/>
      <c r="F509" s="16"/>
      <c r="G509" s="16"/>
      <c r="H509" s="16">
        <f t="shared" ref="H509" si="2100">+H508+D509</f>
        <v>35142926</v>
      </c>
      <c r="I509" s="16"/>
      <c r="J509" s="436">
        <f t="shared" ref="J509" si="2101">+D509/H508</f>
        <v>6.1979733128389447E-4</v>
      </c>
      <c r="K509" s="16"/>
      <c r="L509" s="16"/>
      <c r="M509" s="16"/>
      <c r="N509" s="16">
        <f t="shared" ref="N509" si="2102">SUM(D503:D509)</f>
        <v>441208</v>
      </c>
      <c r="O509" s="16">
        <f t="shared" ref="O509" si="2103">+H509/BW509</f>
        <v>70285.851999999999</v>
      </c>
      <c r="P509" s="41"/>
      <c r="Q509" s="17">
        <f t="shared" ref="Q509" si="2104">SUM(D503:D509)</f>
        <v>441208</v>
      </c>
      <c r="R509" s="16"/>
      <c r="S509" s="60">
        <f t="shared" ref="S509" si="2105">+(Q509-Q502)/Q502</f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ref="Z509" si="2106">SUM(W504:W509)</f>
        <v>2041</v>
      </c>
      <c r="AA509" s="33">
        <f t="shared" ref="AA509" si="2107">+AA508+W509</f>
        <v>612932</v>
      </c>
      <c r="AB509" s="33"/>
      <c r="AC509" s="46">
        <f t="shared" ref="AC509" si="2108">+AA509/H509</f>
        <v>1.7441120298292749E-2</v>
      </c>
      <c r="AD509" s="33"/>
      <c r="AE509" s="33">
        <f t="shared" ref="AE509" si="2109">+AA509/BW509</f>
        <v>1225.864</v>
      </c>
      <c r="AF509" s="50"/>
      <c r="AG509" s="33">
        <f t="shared" ref="AG509" si="2110">SUM(W503:W509)</f>
        <v>2173</v>
      </c>
      <c r="AH509" s="33">
        <f t="shared" ref="AH509" si="2111">SUM(D480:D952)</f>
        <v>1121940669.060914</v>
      </c>
      <c r="AI509" s="213">
        <f t="shared" ref="AI509" si="2112">+(AG509-AG502)/AG502</f>
        <v>0.20588235294117646</v>
      </c>
      <c r="AJ509" s="50"/>
      <c r="AK509" s="111"/>
      <c r="AL509" s="23">
        <f t="shared" ref="AL509" si="2113">+AP509-AP508</f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ref="AR509" si="2114">+AL509/AP508</f>
        <v>2.4179099677925492E-4</v>
      </c>
      <c r="AS509" s="25"/>
      <c r="AT509" s="25"/>
      <c r="AU509" s="24"/>
      <c r="AV509" s="298">
        <f t="shared" ref="AV509" si="2115">+AP509/H509</f>
        <v>0.84436025617218102</v>
      </c>
      <c r="AW509" s="298"/>
      <c r="AX509" s="24">
        <f t="shared" ref="AX509" si="2116">+AP509/BW509</f>
        <v>59346.58</v>
      </c>
      <c r="AY509" s="308"/>
      <c r="AZ509" s="111"/>
      <c r="BA509" s="65">
        <f t="shared" ref="BA509" si="2117">+BC509-BC508</f>
        <v>238229</v>
      </c>
      <c r="BB509" s="66"/>
      <c r="BC509" s="66">
        <v>529918049</v>
      </c>
      <c r="BD509" s="66"/>
      <c r="BE509" s="66">
        <f t="shared" ref="BE509" si="2118">+D509</f>
        <v>21768</v>
      </c>
      <c r="BF509" s="66"/>
      <c r="BG509" s="144">
        <f t="shared" ref="BG509" si="2119">+BE509/BA509</f>
        <v>9.1374265937396365E-2</v>
      </c>
      <c r="BH509" s="66"/>
      <c r="BI509" s="170"/>
      <c r="BJ509" s="66"/>
      <c r="BK509" s="66">
        <f t="shared" ref="BK509" si="2120">SUM(BA503:BA509)</f>
        <v>6309093</v>
      </c>
      <c r="BL509" s="66"/>
      <c r="BM509" s="144">
        <f t="shared" ref="BM509" si="2121">+Q509/BK509</f>
        <v>6.9932080570059757E-2</v>
      </c>
      <c r="BN509" s="65">
        <f t="shared" ref="BN509" si="2122">+BC509/BW509</f>
        <v>1059836.098</v>
      </c>
      <c r="BO509" s="66"/>
      <c r="BP509" s="66">
        <f t="shared" ref="BP509" si="2123">+BP508+BE509</f>
        <v>34235948</v>
      </c>
      <c r="BQ509" s="66"/>
      <c r="BR509" s="435">
        <f t="shared" ref="BR509" si="2124">+BP509/BC509</f>
        <v>6.4606117992406786E-2</v>
      </c>
      <c r="BS509" s="66"/>
      <c r="BT509" s="75"/>
      <c r="BU509" s="170"/>
      <c r="BV509" s="1"/>
      <c r="BW509" s="61">
        <f t="shared" si="1175"/>
        <v>500</v>
      </c>
    </row>
    <row r="510" spans="2:75" x14ac:dyDescent="0.3">
      <c r="B510" s="158">
        <f t="shared" si="424"/>
        <v>44410</v>
      </c>
      <c r="C510" s="61"/>
      <c r="D510" s="17">
        <v>56369</v>
      </c>
      <c r="E510" s="16"/>
      <c r="F510" s="16"/>
      <c r="G510" s="16"/>
      <c r="H510" s="16">
        <f t="shared" ref="H510" si="2125">+H509+D510</f>
        <v>35199295</v>
      </c>
      <c r="I510" s="16"/>
      <c r="J510" s="436">
        <f t="shared" ref="J510" si="2126">+D510/H509</f>
        <v>1.6039927921767242E-3</v>
      </c>
      <c r="K510" s="16"/>
      <c r="L510" s="16"/>
      <c r="M510" s="16"/>
      <c r="N510" s="16">
        <f t="shared" ref="N510" si="2127">SUM(D504:D510)</f>
        <v>461761</v>
      </c>
      <c r="O510" s="16">
        <f t="shared" ref="O510" si="2128">+H510/BW510</f>
        <v>70258.073852295405</v>
      </c>
      <c r="P510" s="41"/>
      <c r="Q510" s="17">
        <f t="shared" ref="Q510" si="2129">SUM(D504:D510)</f>
        <v>461761</v>
      </c>
      <c r="R510" s="16"/>
      <c r="S510" s="60">
        <f t="shared" ref="S510" si="2130">+(Q510-Q503)/Q503</f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ref="Z510" si="2131">SUM(W505:W510)</f>
        <v>1915</v>
      </c>
      <c r="AA510" s="33">
        <f t="shared" ref="AA510" si="2132">+AA509+W510</f>
        <v>613145</v>
      </c>
      <c r="AB510" s="33"/>
      <c r="AC510" s="46">
        <f t="shared" ref="AC510" si="2133">+AA510/H510</f>
        <v>1.7419240925137847E-2</v>
      </c>
      <c r="AD510" s="33"/>
      <c r="AE510" s="33">
        <f t="shared" ref="AE510" si="2134">+AA510/BW510</f>
        <v>1223.8423153692615</v>
      </c>
      <c r="AF510" s="50"/>
      <c r="AG510" s="33">
        <f t="shared" ref="AG510" si="2135">SUM(W504:W510)</f>
        <v>2254</v>
      </c>
      <c r="AH510" s="33">
        <f t="shared" ref="AH510" si="2136">SUM(D481:D953)</f>
        <v>1121932691.060914</v>
      </c>
      <c r="AI510" s="213">
        <f t="shared" ref="AI510" si="2137">+(AG510-AG503)/AG503</f>
        <v>0.25431274346132443</v>
      </c>
      <c r="AJ510" s="50"/>
      <c r="AK510" s="111"/>
      <c r="AL510" s="23">
        <f t="shared" ref="AL510" si="2138">+AP510-AP509</f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ref="AR510" si="2139">+AL510/AP509</f>
        <v>1.4911390007646607E-3</v>
      </c>
      <c r="AS510" s="25"/>
      <c r="AT510" s="25"/>
      <c r="AU510" s="24"/>
      <c r="AV510" s="298">
        <f t="shared" ref="AV510" si="2140">+AP510/H510</f>
        <v>0.84426511951446759</v>
      </c>
      <c r="AW510" s="298"/>
      <c r="AX510" s="24">
        <f t="shared" ref="AX510" si="2141">+AP510/BW510</f>
        <v>59316.441117764472</v>
      </c>
      <c r="AY510" s="308"/>
      <c r="AZ510" s="111"/>
      <c r="BA510" s="65">
        <f t="shared" ref="BA510" si="2142">+BC510-BC509</f>
        <v>2223019</v>
      </c>
      <c r="BB510" s="66"/>
      <c r="BC510" s="66">
        <v>532141068</v>
      </c>
      <c r="BD510" s="66"/>
      <c r="BE510" s="66">
        <f t="shared" ref="BE510" si="2143">+D510</f>
        <v>56369</v>
      </c>
      <c r="BF510" s="66"/>
      <c r="BG510" s="144">
        <f t="shared" ref="BG510" si="2144">+BE510/BA510</f>
        <v>2.5356958262614939E-2</v>
      </c>
      <c r="BH510" s="66"/>
      <c r="BI510" s="170"/>
      <c r="BJ510" s="66"/>
      <c r="BK510" s="66">
        <f t="shared" ref="BK510" si="2145">SUM(BA504:BA510)</f>
        <v>6157182</v>
      </c>
      <c r="BL510" s="66"/>
      <c r="BM510" s="144">
        <f t="shared" ref="BM510" si="2146">+Q510/BK510</f>
        <v>7.4995509309291164E-2</v>
      </c>
      <c r="BN510" s="65">
        <f t="shared" ref="BN510" si="2147">+BC510/BW510</f>
        <v>1062157.8203592815</v>
      </c>
      <c r="BO510" s="66"/>
      <c r="BP510" s="66">
        <f t="shared" ref="BP510" si="2148">+BP509+BE510</f>
        <v>34292317</v>
      </c>
      <c r="BQ510" s="66"/>
      <c r="BR510" s="435">
        <f t="shared" ref="BR510" si="2149">+BP510/BC510</f>
        <v>6.4442154650616063E-2</v>
      </c>
      <c r="BS510" s="66"/>
      <c r="BT510" s="75"/>
      <c r="BU510" s="170"/>
      <c r="BV510" s="1"/>
      <c r="BW510" s="61">
        <f t="shared" si="1175"/>
        <v>501</v>
      </c>
    </row>
    <row r="511" spans="2:75" x14ac:dyDescent="0.3">
      <c r="B511" s="158">
        <f t="shared" si="424"/>
        <v>44411</v>
      </c>
      <c r="C511" s="61"/>
      <c r="D511" s="17">
        <v>104758</v>
      </c>
      <c r="E511" s="16"/>
      <c r="F511" s="16"/>
      <c r="G511" s="16"/>
      <c r="H511" s="16">
        <f t="shared" ref="H511" si="2150">+H510+D511</f>
        <v>35304053</v>
      </c>
      <c r="I511" s="16"/>
      <c r="J511" s="436">
        <f t="shared" ref="J511" si="2151">+D511/H510</f>
        <v>2.9761391527870088E-3</v>
      </c>
      <c r="K511" s="16"/>
      <c r="L511" s="16"/>
      <c r="M511" s="16"/>
      <c r="N511" s="16">
        <f t="shared" ref="N511" si="2152">SUM(D505:D511)</f>
        <v>504938</v>
      </c>
      <c r="O511" s="16">
        <f t="shared" ref="O511" si="2153">+H511/BW511</f>
        <v>70326.798804780876</v>
      </c>
      <c r="P511" s="41"/>
      <c r="Q511" s="17">
        <f t="shared" ref="Q511" si="2154">SUM(D505:D511)</f>
        <v>504938</v>
      </c>
      <c r="R511" s="16"/>
      <c r="S511" s="60">
        <f t="shared" ref="S511" si="2155">+(Q511-Q504)/Q504</f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ref="Z511" si="2156">SUM(W506:W511)</f>
        <v>1948</v>
      </c>
      <c r="AA511" s="33">
        <f t="shared" ref="AA511" si="2157">+AA510+W511</f>
        <v>613661</v>
      </c>
      <c r="AB511" s="33"/>
      <c r="AC511" s="46">
        <f t="shared" ref="AC511" si="2158">+AA511/H511</f>
        <v>1.7382168557247519E-2</v>
      </c>
      <c r="AD511" s="33"/>
      <c r="AE511" s="33">
        <f t="shared" ref="AE511" si="2159">+AA511/BW511</f>
        <v>1222.4322709163346</v>
      </c>
      <c r="AF511" s="50"/>
      <c r="AG511" s="33">
        <f t="shared" ref="AG511" si="2160">SUM(W505:W511)</f>
        <v>2431</v>
      </c>
      <c r="AH511" s="33">
        <f t="shared" ref="AH511" si="2161">SUM(D482:D954)</f>
        <v>1121926942.060914</v>
      </c>
      <c r="AI511" s="213">
        <f t="shared" ref="AI511" si="2162">+(AG511-AG504)/AG504</f>
        <v>0.29308510638297874</v>
      </c>
      <c r="AJ511" s="50"/>
      <c r="AK511" s="111"/>
      <c r="AL511" s="23">
        <f t="shared" ref="AL511" si="2163">+AP511-AP510</f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ref="AR511" si="2164">+AL511/AP510</f>
        <v>1.3140052622799797E-3</v>
      </c>
      <c r="AS511" s="25"/>
      <c r="AT511" s="25"/>
      <c r="AU511" s="24"/>
      <c r="AV511" s="298">
        <f t="shared" ref="AV511" si="2165">+AP511/H511</f>
        <v>0.84286600181571225</v>
      </c>
      <c r="AW511" s="298"/>
      <c r="AX511" s="24">
        <f t="shared" ref="AX511" si="2166">+AP511/BW511</f>
        <v>59276.067729083668</v>
      </c>
      <c r="AY511" s="308"/>
      <c r="AZ511" s="111"/>
      <c r="BA511" s="65">
        <f t="shared" ref="BA511" si="2167">+BC511-BC510</f>
        <v>7084250</v>
      </c>
      <c r="BB511" s="66"/>
      <c r="BC511" s="66">
        <v>539225318</v>
      </c>
      <c r="BD511" s="66"/>
      <c r="BE511" s="66">
        <f t="shared" ref="BE511" si="2168">+D511</f>
        <v>104758</v>
      </c>
      <c r="BF511" s="66"/>
      <c r="BG511" s="144">
        <f t="shared" ref="BG511" si="2169">+BE511/BA511</f>
        <v>1.4787451035748314E-2</v>
      </c>
      <c r="BH511" s="66"/>
      <c r="BI511" s="170"/>
      <c r="BJ511" s="66"/>
      <c r="BK511" s="66">
        <f t="shared" ref="BK511" si="2170">SUM(BA505:BA511)</f>
        <v>12349086</v>
      </c>
      <c r="BL511" s="66"/>
      <c r="BM511" s="144">
        <f t="shared" ref="BM511" si="2171">+Q511/BK511</f>
        <v>4.0888694110641062E-2</v>
      </c>
      <c r="BN511" s="65">
        <f t="shared" ref="BN511" si="2172">+BC511/BW511</f>
        <v>1074154.0199203186</v>
      </c>
      <c r="BO511" s="66"/>
      <c r="BP511" s="66">
        <f t="shared" ref="BP511" si="2173">+BP510+BE511</f>
        <v>34397075</v>
      </c>
      <c r="BQ511" s="66"/>
      <c r="BR511" s="435">
        <f t="shared" ref="BR511" si="2174">+BP511/BC511</f>
        <v>6.378979964735261E-2</v>
      </c>
      <c r="BS511" s="66"/>
      <c r="BT511" s="75"/>
      <c r="BU511" s="170"/>
      <c r="BV511" s="1"/>
      <c r="BW511" s="61">
        <f t="shared" si="1175"/>
        <v>502</v>
      </c>
    </row>
    <row r="512" spans="2:75" x14ac:dyDescent="0.3">
      <c r="B512" s="158">
        <f t="shared" si="424"/>
        <v>44412</v>
      </c>
      <c r="C512" s="61"/>
      <c r="D512" s="17">
        <v>112279</v>
      </c>
      <c r="E512" s="16"/>
      <c r="F512" s="16"/>
      <c r="G512" s="16"/>
      <c r="H512" s="16">
        <f t="shared" ref="H512" si="2175">+H511+D512</f>
        <v>35416332</v>
      </c>
      <c r="I512" s="16"/>
      <c r="J512" s="436">
        <f t="shared" ref="J512" si="2176">+D512/H511</f>
        <v>3.1803430614609604E-3</v>
      </c>
      <c r="K512" s="16"/>
      <c r="L512" s="16"/>
      <c r="M512" s="16"/>
      <c r="N512" s="16">
        <f t="shared" ref="N512" si="2177">SUM(D506:D512)</f>
        <v>532683</v>
      </c>
      <c r="O512" s="16">
        <f t="shared" ref="O512" si="2178">+H512/BW512</f>
        <v>70410.202783300192</v>
      </c>
      <c r="P512" s="41"/>
      <c r="Q512" s="17">
        <f t="shared" ref="Q512" si="2179">SUM(D506:D512)</f>
        <v>532683</v>
      </c>
      <c r="R512" s="16"/>
      <c r="S512" s="60">
        <f t="shared" ref="S512" si="2180">+(Q512-Q505)/Q505</f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ref="Z512" si="2181">SUM(W507:W512)</f>
        <v>2119</v>
      </c>
      <c r="AA512" s="33">
        <f t="shared" ref="AA512" si="2182">+AA511+W512</f>
        <v>614317</v>
      </c>
      <c r="AB512" s="33"/>
      <c r="AC512" s="46">
        <f t="shared" ref="AC512" si="2183">+AA512/H512</f>
        <v>1.7345585082046328E-2</v>
      </c>
      <c r="AD512" s="33"/>
      <c r="AE512" s="33">
        <f t="shared" ref="AE512" si="2184">+AA512/BW512</f>
        <v>1221.3061630218688</v>
      </c>
      <c r="AF512" s="50"/>
      <c r="AG512" s="33">
        <f t="shared" ref="AG512" si="2185">SUM(W506:W512)</f>
        <v>2604</v>
      </c>
      <c r="AH512" s="33">
        <f t="shared" ref="AH512" si="2186">SUM(D483:D955)</f>
        <v>1121921810.060914</v>
      </c>
      <c r="AI512" s="213">
        <f t="shared" ref="AI512" si="2187">+(AG512-AG505)/AG505</f>
        <v>0.33744221879815101</v>
      </c>
      <c r="AJ512" s="50"/>
      <c r="AK512" s="111"/>
      <c r="AL512" s="23">
        <f t="shared" ref="AL512" si="2188">+AP512-AP511</f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ref="AR512" si="2189">+AL512/AP511</f>
        <v>1.0327125564740525E-3</v>
      </c>
      <c r="AS512" s="25"/>
      <c r="AT512" s="25"/>
      <c r="AU512" s="24"/>
      <c r="AV512" s="298">
        <f t="shared" ref="AV512" si="2190">+AP512/H512</f>
        <v>0.84106157577244312</v>
      </c>
      <c r="AW512" s="298"/>
      <c r="AX512" s="24">
        <f t="shared" ref="AX512" si="2191">+AP512/BW512</f>
        <v>59219.316103379722</v>
      </c>
      <c r="AY512" s="308"/>
      <c r="AZ512" s="111"/>
      <c r="BA512" s="65">
        <f t="shared" ref="BA512" si="2192">+BC512-BC511</f>
        <v>1157031</v>
      </c>
      <c r="BB512" s="66"/>
      <c r="BC512" s="66">
        <v>540382349</v>
      </c>
      <c r="BD512" s="66"/>
      <c r="BE512" s="66">
        <f t="shared" ref="BE512" si="2193">+D512</f>
        <v>112279</v>
      </c>
      <c r="BF512" s="66"/>
      <c r="BG512" s="144">
        <f t="shared" ref="BG512" si="2194">+BE512/BA512</f>
        <v>9.7040615160700103E-2</v>
      </c>
      <c r="BH512" s="66"/>
      <c r="BI512" s="170"/>
      <c r="BJ512" s="66"/>
      <c r="BK512" s="66">
        <f t="shared" ref="BK512" si="2195">SUM(BA506:BA512)</f>
        <v>13301197</v>
      </c>
      <c r="BL512" s="66"/>
      <c r="BM512" s="144">
        <f t="shared" ref="BM512" si="2196">+Q512/BK512</f>
        <v>4.0047749086040904E-2</v>
      </c>
      <c r="BN512" s="65">
        <f t="shared" ref="BN512" si="2197">+BC512/BW512</f>
        <v>1074318.7852882703</v>
      </c>
      <c r="BO512" s="66"/>
      <c r="BP512" s="66">
        <f t="shared" ref="BP512" si="2198">+BP511+BE512</f>
        <v>34509354</v>
      </c>
      <c r="BQ512" s="66"/>
      <c r="BR512" s="435">
        <f t="shared" ref="BR512" si="2199">+BP512/BC512</f>
        <v>6.3860994097718018E-2</v>
      </c>
      <c r="BS512" s="66"/>
      <c r="BT512" s="75"/>
      <c r="BU512" s="170"/>
      <c r="BV512" s="1"/>
      <c r="BW512" s="61">
        <f t="shared" si="1175"/>
        <v>503</v>
      </c>
    </row>
    <row r="513" spans="2:75" x14ac:dyDescent="0.3">
      <c r="B513" s="158">
        <f t="shared" si="424"/>
        <v>44413</v>
      </c>
      <c r="C513" s="61"/>
      <c r="D513" s="17">
        <v>120945</v>
      </c>
      <c r="E513" s="16"/>
      <c r="F513" s="16"/>
      <c r="G513" s="16"/>
      <c r="H513" s="16">
        <f t="shared" ref="H513" si="2200">+H512+D513</f>
        <v>35537277</v>
      </c>
      <c r="I513" s="16"/>
      <c r="J513" s="436">
        <f t="shared" ref="J513" si="2201">+D513/H512</f>
        <v>3.4149499163267389E-3</v>
      </c>
      <c r="K513" s="16"/>
      <c r="L513" s="16"/>
      <c r="M513" s="16"/>
      <c r="N513" s="16">
        <f t="shared" ref="N513" si="2202">SUM(D507:D513)</f>
        <v>569115</v>
      </c>
      <c r="O513" s="16">
        <f t="shared" ref="O513" si="2203">+H513/BW513</f>
        <v>70510.470238095237</v>
      </c>
      <c r="P513" s="41"/>
      <c r="Q513" s="17">
        <f t="shared" ref="Q513" si="2204">SUM(D507:D513)</f>
        <v>569115</v>
      </c>
      <c r="R513" s="16"/>
      <c r="S513" s="60">
        <f t="shared" ref="S513" si="2205">+(Q513-Q506)/Q506</f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ref="Z513" si="2206">SUM(W508:W513)</f>
        <v>2249</v>
      </c>
      <c r="AA513" s="33">
        <f t="shared" ref="AA513" si="2207">+AA512+W513</f>
        <v>614876</v>
      </c>
      <c r="AB513" s="33"/>
      <c r="AC513" s="46">
        <f t="shared" ref="AC513" si="2208">+AA513/H513</f>
        <v>1.7302282332999235E-2</v>
      </c>
      <c r="AD513" s="33"/>
      <c r="AE513" s="33">
        <f t="shared" ref="AE513" si="2209">+AA513/BW513</f>
        <v>1219.9920634920634</v>
      </c>
      <c r="AF513" s="50"/>
      <c r="AG513" s="33">
        <f t="shared" ref="AG513" si="2210">SUM(W507:W513)</f>
        <v>2678</v>
      </c>
      <c r="AH513" s="33">
        <f t="shared" ref="AH513" si="2211">SUM(D484:D956)</f>
        <v>1121910198.060914</v>
      </c>
      <c r="AI513" s="213">
        <f t="shared" ref="AI513" si="2212">+(AG513-AG506)/AG506</f>
        <v>0.29559748427672955</v>
      </c>
      <c r="AJ513" s="50"/>
      <c r="AK513" s="111" t="s">
        <v>26</v>
      </c>
      <c r="AL513" s="23">
        <f t="shared" ref="AL513" si="2213">+AP513-AP512</f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ref="AR513" si="2214">+AL513/AP512</f>
        <v>4.258188283899093E-4</v>
      </c>
      <c r="AS513" s="25"/>
      <c r="AT513" s="25"/>
      <c r="AU513" s="24"/>
      <c r="AV513" s="298">
        <f t="shared" ref="AV513" si="2215">+AP513/H513</f>
        <v>0.83855608858270148</v>
      </c>
      <c r="AW513" s="298"/>
      <c r="AX513" s="24">
        <f t="shared" ref="AX513" si="2216">+AP513/BW513</f>
        <v>59126.984126984127</v>
      </c>
      <c r="AY513" s="308"/>
      <c r="AZ513" s="111" t="s">
        <v>26</v>
      </c>
      <c r="BA513" s="65">
        <f t="shared" ref="BA513" si="2217">+BC513-BC512</f>
        <v>1100613</v>
      </c>
      <c r="BB513" s="66"/>
      <c r="BC513" s="66">
        <v>541482962</v>
      </c>
      <c r="BD513" s="66"/>
      <c r="BE513" s="66">
        <f t="shared" ref="BE513" si="2218">+D513</f>
        <v>120945</v>
      </c>
      <c r="BF513" s="66"/>
      <c r="BG513" s="144">
        <f t="shared" ref="BG513" si="2219">+BE513/BA513</f>
        <v>0.10988876198990925</v>
      </c>
      <c r="BH513" s="66"/>
      <c r="BI513" s="170"/>
      <c r="BJ513" s="66"/>
      <c r="BK513" s="66">
        <f t="shared" ref="BK513" si="2220">SUM(BA507:BA513)</f>
        <v>14182962</v>
      </c>
      <c r="BL513" s="66"/>
      <c r="BM513" s="144">
        <f t="shared" ref="BM513" si="2221">+Q513/BK513</f>
        <v>4.0126667476088562E-2</v>
      </c>
      <c r="BN513" s="65">
        <f t="shared" ref="BN513" si="2222">+BC513/BW513</f>
        <v>1074370.9563492064</v>
      </c>
      <c r="BO513" s="66"/>
      <c r="BP513" s="66">
        <f t="shared" ref="BP513" si="2223">+BP512+BE513</f>
        <v>34630299</v>
      </c>
      <c r="BQ513" s="66"/>
      <c r="BR513" s="435">
        <f t="shared" ref="BR513" si="2224">+BP513/BC513</f>
        <v>6.3954549690891288E-2</v>
      </c>
      <c r="BS513" s="66"/>
      <c r="BT513" s="75"/>
      <c r="BU513" s="170"/>
      <c r="BV513" s="1"/>
      <c r="BW513" s="61">
        <f t="shared" si="1175"/>
        <v>504</v>
      </c>
    </row>
    <row r="514" spans="2:75" x14ac:dyDescent="0.3">
      <c r="B514" s="158">
        <f t="shared" si="424"/>
        <v>44414</v>
      </c>
      <c r="C514" s="61"/>
      <c r="D514" s="17">
        <v>130706</v>
      </c>
      <c r="E514" s="16"/>
      <c r="F514" s="16"/>
      <c r="G514" s="16"/>
      <c r="H514" s="16">
        <f t="shared" ref="H514" si="2225">+H513+D514</f>
        <v>35667983</v>
      </c>
      <c r="I514" s="16"/>
      <c r="J514" s="436">
        <f t="shared" ref="J514" si="2226">+D514/H513</f>
        <v>3.67799705081512E-3</v>
      </c>
      <c r="K514" s="16"/>
      <c r="L514" s="16"/>
      <c r="M514" s="16"/>
      <c r="N514" s="16">
        <f t="shared" ref="N514" si="2227">SUM(D508:D514)</f>
        <v>598723</v>
      </c>
      <c r="O514" s="16">
        <f t="shared" ref="O514" si="2228">+H514/BW514</f>
        <v>70629.669306930693</v>
      </c>
      <c r="P514" s="41"/>
      <c r="Q514" s="17">
        <f t="shared" ref="Q514" si="2229">SUM(D508:D514)</f>
        <v>598723</v>
      </c>
      <c r="R514" s="16"/>
      <c r="S514" s="60">
        <f t="shared" ref="S514" si="2230">+(Q514-Q507)/Q507</f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ref="Z514" si="2231">SUM(W509:W514)</f>
        <v>2758</v>
      </c>
      <c r="AA514" s="33">
        <f t="shared" ref="AA514" si="2232">+AA513+W514</f>
        <v>615626</v>
      </c>
      <c r="AB514" s="33"/>
      <c r="AC514" s="46">
        <f t="shared" ref="AC514" si="2233">+AA514/H514</f>
        <v>1.7259905052663057E-2</v>
      </c>
      <c r="AD514" s="33"/>
      <c r="AE514" s="33">
        <f t="shared" ref="AE514" si="2234">+AA514/BW514</f>
        <v>1219.0613861386139</v>
      </c>
      <c r="AF514" s="50"/>
      <c r="AG514" s="33">
        <f t="shared" ref="AG514" si="2235">SUM(W508:W514)</f>
        <v>2999</v>
      </c>
      <c r="AH514" s="33">
        <f t="shared" ref="AH514" si="2236">SUM(D485:D957)</f>
        <v>1121893386.060914</v>
      </c>
      <c r="AI514" s="213">
        <f t="shared" ref="AI514" si="2237">+(AG514-AG507)/AG507</f>
        <v>0.45019342359767894</v>
      </c>
      <c r="AJ514" s="50"/>
      <c r="AK514" s="111"/>
      <c r="AL514" s="23">
        <f t="shared" ref="AL514" si="2238">+AP514-AP513</f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ref="AR514" si="2239">+AL514/AP513</f>
        <v>1.1567785234899328E-3</v>
      </c>
      <c r="AS514" s="25"/>
      <c r="AT514" s="25"/>
      <c r="AU514" s="24"/>
      <c r="AV514" s="298">
        <f t="shared" ref="AV514" si="2240">+AP514/H514</f>
        <v>0.83644965290019346</v>
      </c>
      <c r="AW514" s="298"/>
      <c r="AX514" s="24">
        <f t="shared" ref="AX514" si="2241">+AP514/BW514</f>
        <v>59078.162376237626</v>
      </c>
      <c r="AY514" s="308"/>
      <c r="AZ514" s="111"/>
      <c r="BA514" s="65">
        <f t="shared" ref="BA514" si="2242">+BC514-BC513</f>
        <v>1408885</v>
      </c>
      <c r="BB514" s="66"/>
      <c r="BC514" s="66">
        <v>542891847</v>
      </c>
      <c r="BD514" s="66"/>
      <c r="BE514" s="66">
        <f t="shared" ref="BE514" si="2243">+D514</f>
        <v>130706</v>
      </c>
      <c r="BF514" s="66"/>
      <c r="BG514" s="144">
        <f t="shared" ref="BG514" si="2244">+BE514/BA514</f>
        <v>9.2772653552277151E-2</v>
      </c>
      <c r="BH514" s="66"/>
      <c r="BI514" s="170"/>
      <c r="BJ514" s="66"/>
      <c r="BK514" s="66">
        <f t="shared" ref="BK514" si="2245">SUM(BA508:BA514)</f>
        <v>13712937</v>
      </c>
      <c r="BL514" s="66"/>
      <c r="BM514" s="144">
        <f t="shared" ref="BM514" si="2246">+Q514/BK514</f>
        <v>4.3661179220760661E-2</v>
      </c>
      <c r="BN514" s="65">
        <f t="shared" ref="BN514" si="2247">+BC514/BW514</f>
        <v>1075033.3603960397</v>
      </c>
      <c r="BO514" s="66"/>
      <c r="BP514" s="66">
        <f t="shared" ref="BP514" si="2248">+BP513+BE514</f>
        <v>34761005</v>
      </c>
      <c r="BQ514" s="66"/>
      <c r="BR514" s="435">
        <f t="shared" ref="BR514" si="2249">+BP514/BC514</f>
        <v>6.4029336951895693E-2</v>
      </c>
      <c r="BS514" s="66"/>
      <c r="BT514" s="75"/>
      <c r="BU514" s="170"/>
      <c r="BV514" s="1"/>
      <c r="BW514" s="61">
        <f t="shared" si="1175"/>
        <v>505</v>
      </c>
    </row>
    <row r="515" spans="2:75" x14ac:dyDescent="0.3">
      <c r="B515" s="158">
        <f t="shared" si="424"/>
        <v>44415</v>
      </c>
      <c r="C515" s="61"/>
      <c r="D515" s="17">
        <v>68950</v>
      </c>
      <c r="E515" s="16"/>
      <c r="F515" s="16"/>
      <c r="G515" s="16"/>
      <c r="H515" s="16">
        <f t="shared" ref="H515" si="2250">+H514+D515</f>
        <v>35736933</v>
      </c>
      <c r="I515" s="16"/>
      <c r="J515" s="436">
        <f t="shared" ref="J515" si="2251">+D515/H514</f>
        <v>1.9331062258272356E-3</v>
      </c>
      <c r="K515" s="16"/>
      <c r="L515" s="16"/>
      <c r="M515" s="16"/>
      <c r="N515" s="16">
        <f t="shared" ref="N515" si="2252">SUM(D509:D515)</f>
        <v>615775</v>
      </c>
      <c r="O515" s="16">
        <f t="shared" ref="O515" si="2253">+H515/BW515</f>
        <v>70626.349802371536</v>
      </c>
      <c r="P515" s="41"/>
      <c r="Q515" s="17">
        <f t="shared" ref="Q515" si="2254">SUM(D509:D515)</f>
        <v>615775</v>
      </c>
      <c r="R515" s="16"/>
      <c r="S515" s="60">
        <f t="shared" ref="S515" si="2255">+(Q515-Q508)/Q508</f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ref="Z515" si="2256">SUM(W510:W515)</f>
        <v>3014</v>
      </c>
      <c r="AA515" s="33">
        <f t="shared" ref="AA515" si="2257">+AA514+W515</f>
        <v>615946</v>
      </c>
      <c r="AB515" s="33"/>
      <c r="AC515" s="46">
        <f t="shared" ref="AC515" si="2258">+AA515/H515</f>
        <v>1.7235558518689895E-2</v>
      </c>
      <c r="AD515" s="33"/>
      <c r="AE515" s="33">
        <f t="shared" ref="AE515" si="2259">+AA515/BW515</f>
        <v>1217.2845849802372</v>
      </c>
      <c r="AF515" s="50"/>
      <c r="AG515" s="33">
        <f t="shared" ref="AG515" si="2260">SUM(W509:W515)</f>
        <v>3078</v>
      </c>
      <c r="AH515" s="33">
        <f t="shared" ref="AH515" si="2261">SUM(D486:D958)</f>
        <v>1121874039.060914</v>
      </c>
      <c r="AI515" s="213">
        <f t="shared" ref="AI515" si="2262">+(AG515-AG508)/AG508</f>
        <v>0.42632066728452273</v>
      </c>
      <c r="AJ515" s="50"/>
      <c r="AK515" s="111"/>
      <c r="AL515" s="23">
        <f t="shared" ref="AL515" si="2263">+AP515-AP514</f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ref="AR515" si="2264">+AL515/AP514</f>
        <v>5.8090520254556544E-4</v>
      </c>
      <c r="AS515" s="25"/>
      <c r="AT515" s="25"/>
      <c r="AU515" s="24"/>
      <c r="AV515" s="298">
        <f t="shared" ref="AV515" si="2265">+AP515/H515</f>
        <v>0.83532078704123824</v>
      </c>
      <c r="AW515" s="298"/>
      <c r="AX515" s="24">
        <f t="shared" ref="AX515" si="2266">+AP515/BW515</f>
        <v>58995.6581027668</v>
      </c>
      <c r="AY515" s="308"/>
      <c r="AZ515" s="111"/>
      <c r="BA515" s="65">
        <f t="shared" ref="BA515" si="2267">+BC515-BC514</f>
        <v>836734</v>
      </c>
      <c r="BB515" s="66"/>
      <c r="BC515" s="66">
        <v>543728581</v>
      </c>
      <c r="BD515" s="66"/>
      <c r="BE515" s="66">
        <f t="shared" ref="BE515" si="2268">+D515</f>
        <v>68950</v>
      </c>
      <c r="BF515" s="66"/>
      <c r="BG515" s="144">
        <f t="shared" ref="BG515" si="2269">+BE515/BA515</f>
        <v>8.2403726871383254E-2</v>
      </c>
      <c r="BH515" s="66"/>
      <c r="BI515" s="170"/>
      <c r="BJ515" s="66"/>
      <c r="BK515" s="66">
        <f t="shared" ref="BK515" si="2270">SUM(BA509:BA515)</f>
        <v>14048761</v>
      </c>
      <c r="BL515" s="66"/>
      <c r="BM515" s="144">
        <f t="shared" ref="BM515" si="2271">+Q515/BK515</f>
        <v>4.3831267397886543E-2</v>
      </c>
      <c r="BN515" s="65">
        <f t="shared" ref="BN515" si="2272">+BC515/BW515</f>
        <v>1074562.4130434783</v>
      </c>
      <c r="BO515" s="66"/>
      <c r="BP515" s="66">
        <f t="shared" ref="BP515" si="2273">+BP514+BE515</f>
        <v>34829955</v>
      </c>
      <c r="BQ515" s="66"/>
      <c r="BR515" s="435">
        <f t="shared" ref="BR515" si="2274">+BP515/BC515</f>
        <v>6.4057612965539509E-2</v>
      </c>
      <c r="BS515" s="66"/>
      <c r="BT515" s="75"/>
      <c r="BU515" s="170"/>
      <c r="BV515" s="1"/>
      <c r="BW515" s="61">
        <f t="shared" si="1175"/>
        <v>506</v>
      </c>
    </row>
    <row r="516" spans="2:75" x14ac:dyDescent="0.3">
      <c r="B516" s="347">
        <f t="shared" si="424"/>
        <v>44416</v>
      </c>
      <c r="C516" s="61"/>
      <c r="D516" s="17">
        <v>24390</v>
      </c>
      <c r="E516" s="16"/>
      <c r="F516" s="16"/>
      <c r="G516" s="16"/>
      <c r="H516" s="16">
        <f t="shared" ref="H516" si="2275">+H515+D516</f>
        <v>35761323</v>
      </c>
      <c r="I516" s="16"/>
      <c r="J516" s="436">
        <f t="shared" ref="J516" si="2276">+D516/H515</f>
        <v>6.8248721847507176E-4</v>
      </c>
      <c r="K516" s="16"/>
      <c r="L516" s="16"/>
      <c r="M516" s="16"/>
      <c r="N516" s="16">
        <f t="shared" ref="N516" si="2277">SUM(D510:D516)</f>
        <v>618397</v>
      </c>
      <c r="O516" s="16">
        <f t="shared" ref="O516" si="2278">+H516/BW516</f>
        <v>70535.153846153844</v>
      </c>
      <c r="P516" s="41"/>
      <c r="Q516" s="17">
        <f t="shared" ref="Q516" si="2279">SUM(D510:D516)</f>
        <v>618397</v>
      </c>
      <c r="R516" s="16"/>
      <c r="S516" s="60">
        <f t="shared" ref="S516" si="2280">+(Q516-Q509)/Q509</f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ref="Z516" si="2281">SUM(W511:W516)</f>
        <v>2930</v>
      </c>
      <c r="AA516" s="33">
        <f t="shared" ref="AA516" si="2282">+AA515+W516</f>
        <v>616075</v>
      </c>
      <c r="AB516" s="33"/>
      <c r="AC516" s="46">
        <f t="shared" ref="AC516" si="2283">+AA516/H516</f>
        <v>1.7227410742046652E-2</v>
      </c>
      <c r="AD516" s="33"/>
      <c r="AE516" s="33">
        <f t="shared" ref="AE516" si="2284">+AA516/BW516</f>
        <v>1215.1380670611441</v>
      </c>
      <c r="AF516" s="50"/>
      <c r="AG516" s="33">
        <f t="shared" ref="AG516" si="2285">SUM(W510:W516)</f>
        <v>3143</v>
      </c>
      <c r="AH516" s="33">
        <f t="shared" ref="AH516" si="2286">SUM(D487:D959)</f>
        <v>1121846802.060914</v>
      </c>
      <c r="AI516" s="213">
        <f t="shared" ref="AI516" si="2287">+(AG516-AG509)/AG509</f>
        <v>0.44638748274275197</v>
      </c>
      <c r="AJ516" s="50"/>
      <c r="AK516" s="111"/>
      <c r="AL516" s="23">
        <f t="shared" ref="AL516" si="2288">+AP516-AP515</f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ref="AR516" si="2289">+AL516/AP515</f>
        <v>2.4316789173504862E-4</v>
      </c>
      <c r="AS516" s="25"/>
      <c r="AT516" s="25"/>
      <c r="AU516" s="24"/>
      <c r="AV516" s="298">
        <f t="shared" ref="AV516" si="2290">+AP516/H516</f>
        <v>0.8349540647587339</v>
      </c>
      <c r="AW516" s="298"/>
      <c r="AX516" s="24">
        <f t="shared" ref="AX516" si="2291">+AP516/BW516</f>
        <v>58893.613412228799</v>
      </c>
      <c r="AY516" s="308"/>
      <c r="AZ516" s="111"/>
      <c r="BA516" s="65">
        <f t="shared" ref="BA516" si="2292">+BC516-BC515</f>
        <v>652881</v>
      </c>
      <c r="BB516" s="66"/>
      <c r="BC516" s="66">
        <v>544381462</v>
      </c>
      <c r="BD516" s="66"/>
      <c r="BE516" s="66">
        <f t="shared" ref="BE516" si="2293">+D516</f>
        <v>24390</v>
      </c>
      <c r="BF516" s="66"/>
      <c r="BG516" s="144">
        <f t="shared" ref="BG516" si="2294">+BE516/BA516</f>
        <v>3.73574970017507E-2</v>
      </c>
      <c r="BH516" s="66"/>
      <c r="BI516" s="170"/>
      <c r="BJ516" s="66"/>
      <c r="BK516" s="66">
        <f t="shared" ref="BK516" si="2295">SUM(BA510:BA516)</f>
        <v>14463413</v>
      </c>
      <c r="BL516" s="66"/>
      <c r="BM516" s="144">
        <f t="shared" ref="BM516" si="2296">+Q516/BK516</f>
        <v>4.2755952554213862E-2</v>
      </c>
      <c r="BN516" s="65">
        <f t="shared" ref="BN516" si="2297">+BC516/BW516</f>
        <v>1073730.6942800789</v>
      </c>
      <c r="BO516" s="66"/>
      <c r="BP516" s="66">
        <f t="shared" ref="BP516" si="2298">+BP515+BE516</f>
        <v>34854345</v>
      </c>
      <c r="BQ516" s="66"/>
      <c r="BR516" s="435">
        <f t="shared" ref="BR516" si="2299">+BP516/BC516</f>
        <v>6.4025591304944174E-2</v>
      </c>
      <c r="BS516" s="66"/>
      <c r="BT516" s="75"/>
      <c r="BU516" s="170"/>
      <c r="BV516" s="1"/>
      <c r="BW516" s="61">
        <f t="shared" si="1175"/>
        <v>507</v>
      </c>
    </row>
    <row r="517" spans="2:75" x14ac:dyDescent="0.3">
      <c r="B517" s="158">
        <f t="shared" si="424"/>
        <v>44417</v>
      </c>
      <c r="C517" s="61"/>
      <c r="D517" s="17">
        <v>102375</v>
      </c>
      <c r="E517" s="16"/>
      <c r="F517" s="16"/>
      <c r="G517" s="16"/>
      <c r="H517" s="16">
        <f t="shared" ref="H517" si="2300">+H516+D517</f>
        <v>35863698</v>
      </c>
      <c r="I517" s="16"/>
      <c r="J517" s="436">
        <f t="shared" ref="J517" si="2301">+D517/H516</f>
        <v>2.8627296590788883E-3</v>
      </c>
      <c r="K517" s="16"/>
      <c r="L517" s="16"/>
      <c r="M517" s="16"/>
      <c r="N517" s="16">
        <f t="shared" ref="N517" si="2302">SUM(D511:D517)</f>
        <v>664403</v>
      </c>
      <c r="O517" s="16">
        <f t="shared" ref="O517" si="2303">+H517/BW517</f>
        <v>70597.830708661422</v>
      </c>
      <c r="P517" s="41"/>
      <c r="Q517" s="17">
        <f t="shared" ref="Q517" si="2304">SUM(D511:D517)</f>
        <v>664403</v>
      </c>
      <c r="R517" s="16"/>
      <c r="S517" s="60">
        <f t="shared" ref="S517" si="2305">+(Q517-Q510)/Q510</f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ref="Z517" si="2306">SUM(W512:W517)</f>
        <v>2740</v>
      </c>
      <c r="AA517" s="33">
        <f t="shared" ref="AA517" si="2307">+AA516+W517</f>
        <v>616401</v>
      </c>
      <c r="AB517" s="33"/>
      <c r="AC517" s="46">
        <f t="shared" ref="AC517" si="2308">+AA517/H517</f>
        <v>1.7187324073496268E-2</v>
      </c>
      <c r="AD517" s="33"/>
      <c r="AE517" s="33">
        <f t="shared" ref="AE517" si="2309">+AA517/BW517</f>
        <v>1213.3877952755906</v>
      </c>
      <c r="AF517" s="50"/>
      <c r="AG517" s="33">
        <f t="shared" ref="AG517" si="2310">SUM(W511:W517)</f>
        <v>3256</v>
      </c>
      <c r="AH517" s="33">
        <f t="shared" ref="AH517" si="2311">SUM(D488:D960)</f>
        <v>1121832267.060914</v>
      </c>
      <c r="AI517" s="213">
        <f t="shared" ref="AI517" si="2312">+(AG517-AG510)/AG510</f>
        <v>0.44454303460514638</v>
      </c>
      <c r="AJ517" s="50"/>
      <c r="AK517" s="111"/>
      <c r="AL517" s="23">
        <f t="shared" ref="AL517" si="2313">+AP517-AP516</f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ref="AR517" si="2314">+AL517/AP516</f>
        <v>2.1520434901806358E-3</v>
      </c>
      <c r="AS517" s="25"/>
      <c r="AT517" s="25"/>
      <c r="AU517" s="24"/>
      <c r="AV517" s="298">
        <f t="shared" ref="AV517" si="2315">+AP517/H517</f>
        <v>0.83436236832018829</v>
      </c>
      <c r="AW517" s="298"/>
      <c r="AX517" s="24">
        <f t="shared" ref="AX517" si="2316">+AP517/BW517</f>
        <v>58904.173228346459</v>
      </c>
      <c r="AY517" s="308"/>
      <c r="AZ517" s="111"/>
      <c r="BA517" s="65">
        <f t="shared" ref="BA517" si="2317">+BC517-BC516</f>
        <v>2240677</v>
      </c>
      <c r="BB517" s="66"/>
      <c r="BC517" s="66">
        <v>546622139</v>
      </c>
      <c r="BD517" s="66"/>
      <c r="BE517" s="66">
        <f t="shared" ref="BE517" si="2318">+D517</f>
        <v>102375</v>
      </c>
      <c r="BF517" s="66"/>
      <c r="BG517" s="144">
        <f t="shared" ref="BG517" si="2319">+BE517/BA517</f>
        <v>4.5689316220053136E-2</v>
      </c>
      <c r="BH517" s="66"/>
      <c r="BI517" s="170"/>
      <c r="BJ517" s="66"/>
      <c r="BK517" s="66">
        <f t="shared" ref="BK517" si="2320">SUM(BA511:BA517)</f>
        <v>14481071</v>
      </c>
      <c r="BL517" s="66"/>
      <c r="BM517" s="144">
        <f t="shared" ref="BM517" si="2321">+Q517/BK517</f>
        <v>4.5880791551950822E-2</v>
      </c>
      <c r="BN517" s="65">
        <f t="shared" ref="BN517" si="2322">+BC517/BW517</f>
        <v>1076027.8326771653</v>
      </c>
      <c r="BO517" s="66"/>
      <c r="BP517" s="66">
        <f t="shared" ref="BP517" si="2323">+BP516+BE517</f>
        <v>34956720</v>
      </c>
      <c r="BQ517" s="66"/>
      <c r="BR517" s="435">
        <f t="shared" ref="BR517" si="2324">+BP517/BC517</f>
        <v>6.3950428469564793E-2</v>
      </c>
      <c r="BS517" s="66"/>
      <c r="BT517" s="75"/>
      <c r="BU517" s="170"/>
      <c r="BV517" s="1"/>
      <c r="BW517" s="61">
        <f t="shared" si="1175"/>
        <v>508</v>
      </c>
    </row>
    <row r="518" spans="2:75" x14ac:dyDescent="0.3">
      <c r="B518" s="158">
        <f t="shared" si="424"/>
        <v>44418</v>
      </c>
      <c r="C518" s="61"/>
      <c r="D518" s="17">
        <v>101254</v>
      </c>
      <c r="E518" s="16"/>
      <c r="F518" s="16"/>
      <c r="G518" s="16"/>
      <c r="H518" s="16">
        <f t="shared" ref="H518" si="2325">+H517+D518</f>
        <v>35964952</v>
      </c>
      <c r="I518" s="16"/>
      <c r="J518" s="436">
        <f t="shared" ref="J518" si="2326">+D518/H517</f>
        <v>2.8233005977241947E-3</v>
      </c>
      <c r="K518" s="16"/>
      <c r="L518" s="16"/>
      <c r="M518" s="16"/>
      <c r="N518" s="16">
        <f t="shared" ref="N518" si="2327">SUM(D512:D518)</f>
        <v>660899</v>
      </c>
      <c r="O518" s="16">
        <f t="shared" ref="O518" si="2328">+H518/BW518</f>
        <v>70658.05893909627</v>
      </c>
      <c r="P518" s="41"/>
      <c r="Q518" s="17">
        <f t="shared" ref="Q518" si="2329">SUM(D512:D518)</f>
        <v>660899</v>
      </c>
      <c r="R518" s="16"/>
      <c r="S518" s="60">
        <f t="shared" ref="S518" si="2330">+(Q518-Q511)/Q511</f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ref="Z518" si="2331">SUM(W513:W518)</f>
        <v>2741</v>
      </c>
      <c r="AA518" s="33">
        <f t="shared" ref="AA518" si="2332">+AA517+W518</f>
        <v>617058</v>
      </c>
      <c r="AB518" s="33"/>
      <c r="AC518" s="46">
        <f t="shared" ref="AC518" si="2333">+AA518/H518</f>
        <v>1.7157203490776242E-2</v>
      </c>
      <c r="AD518" s="33"/>
      <c r="AE518" s="33">
        <f t="shared" ref="AE518" si="2334">+AA518/BW518</f>
        <v>1212.294695481336</v>
      </c>
      <c r="AF518" s="50"/>
      <c r="AG518" s="33">
        <f t="shared" ref="AG518" si="2335">SUM(W512:W518)</f>
        <v>3397</v>
      </c>
      <c r="AH518" s="33">
        <f t="shared" ref="AH518" si="2336">SUM(D489:D961)</f>
        <v>1121825625.060914</v>
      </c>
      <c r="AI518" s="213">
        <f t="shared" ref="AI518" si="2337">+(AG518-AG511)/AG511</f>
        <v>0.39736733854380912</v>
      </c>
      <c r="AJ518" s="50"/>
      <c r="AK518" s="111"/>
      <c r="AL518" s="23">
        <f t="shared" ref="AL518" si="2338">+AP518-AP517</f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ref="AR518" si="2339">+AL518/AP517</f>
        <v>1.4370397402427271E-3</v>
      </c>
      <c r="AS518" s="25"/>
      <c r="AT518" s="25"/>
      <c r="AU518" s="24"/>
      <c r="AV518" s="298">
        <f t="shared" ref="AV518" si="2340">+AP518/H518</f>
        <v>0.83320898078774019</v>
      </c>
      <c r="AW518" s="298"/>
      <c r="AX518" s="24">
        <f t="shared" ref="AX518" si="2341">+AP518/BW518</f>
        <v>58872.929273084483</v>
      </c>
      <c r="AY518" s="308"/>
      <c r="AZ518" s="111"/>
      <c r="BA518" s="65">
        <f t="shared" ref="BA518" si="2342">+BC518-BC517</f>
        <v>1026783</v>
      </c>
      <c r="BB518" s="66"/>
      <c r="BC518" s="66">
        <v>547648922</v>
      </c>
      <c r="BD518" s="66"/>
      <c r="BE518" s="66">
        <f t="shared" ref="BE518" si="2343">+D518</f>
        <v>101254</v>
      </c>
      <c r="BF518" s="66"/>
      <c r="BG518" s="144">
        <f t="shared" ref="BG518" si="2344">+BE518/BA518</f>
        <v>9.8612851985278291E-2</v>
      </c>
      <c r="BH518" s="66"/>
      <c r="BI518" s="170"/>
      <c r="BJ518" s="66"/>
      <c r="BK518" s="66">
        <f t="shared" ref="BK518" si="2345">SUM(BA512:BA518)</f>
        <v>8423604</v>
      </c>
      <c r="BL518" s="66"/>
      <c r="BM518" s="144">
        <f t="shared" ref="BM518" si="2346">+Q518/BK518</f>
        <v>7.845798544186075E-2</v>
      </c>
      <c r="BN518" s="65">
        <f t="shared" ref="BN518" si="2347">+BC518/BW518</f>
        <v>1075931.0844793713</v>
      </c>
      <c r="BO518" s="66"/>
      <c r="BP518" s="66">
        <f t="shared" ref="BP518" si="2348">+BP517+BE518</f>
        <v>35057974</v>
      </c>
      <c r="BQ518" s="66"/>
      <c r="BR518" s="435">
        <f t="shared" ref="BR518" si="2349">+BP518/BC518</f>
        <v>6.4015416796529362E-2</v>
      </c>
      <c r="BS518" s="66"/>
      <c r="BT518" s="75"/>
      <c r="BU518" s="170"/>
      <c r="BV518" s="1"/>
      <c r="BW518" s="61">
        <f t="shared" si="1175"/>
        <v>509</v>
      </c>
    </row>
    <row r="519" spans="2:75" x14ac:dyDescent="0.3">
      <c r="B519" s="158">
        <f t="shared" ref="B519:B556" si="2350">1+B518</f>
        <v>44419</v>
      </c>
      <c r="C519" s="61"/>
      <c r="D519" s="17">
        <v>144635</v>
      </c>
      <c r="E519" s="16"/>
      <c r="F519" s="16"/>
      <c r="G519" s="16"/>
      <c r="H519" s="16">
        <f t="shared" ref="H519" si="2351">+H518+D519</f>
        <v>36109587</v>
      </c>
      <c r="I519" s="16"/>
      <c r="J519" s="436">
        <f t="shared" ref="J519" si="2352">+D519/H518</f>
        <v>4.021554095220258E-3</v>
      </c>
      <c r="K519" s="16"/>
      <c r="L519" s="16"/>
      <c r="M519" s="16"/>
      <c r="N519" s="16">
        <f t="shared" ref="N519" si="2353">SUM(D513:D519)</f>
        <v>693255</v>
      </c>
      <c r="O519" s="16">
        <f t="shared" ref="O519" si="2354">+H519/BW519</f>
        <v>70803.111764705885</v>
      </c>
      <c r="P519" s="41"/>
      <c r="Q519" s="17">
        <f t="shared" ref="Q519" si="2355">SUM(D513:D519)</f>
        <v>693255</v>
      </c>
      <c r="R519" s="16"/>
      <c r="S519" s="60">
        <f t="shared" ref="S519" si="2356">+(Q519-Q512)/Q512</f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ref="Z519" si="2357">SUM(W514:W519)</f>
        <v>2796</v>
      </c>
      <c r="AA519" s="33">
        <f t="shared" ref="AA519" si="2358">+AA518+W519</f>
        <v>617672</v>
      </c>
      <c r="AB519" s="33"/>
      <c r="AC519" s="46">
        <f t="shared" ref="AC519" si="2359">+AA519/H519</f>
        <v>1.7105485033656019E-2</v>
      </c>
      <c r="AD519" s="33"/>
      <c r="AE519" s="33">
        <f t="shared" ref="AE519" si="2360">+AA519/BW519</f>
        <v>1211.1215686274509</v>
      </c>
      <c r="AF519" s="50"/>
      <c r="AG519" s="33">
        <f t="shared" ref="AG519" si="2361">SUM(W513:W519)</f>
        <v>3355</v>
      </c>
      <c r="AH519" s="33">
        <f t="shared" ref="AH519" si="2362">SUM(D490:D962)</f>
        <v>1121805629.060914</v>
      </c>
      <c r="AI519" s="213">
        <f t="shared" ref="AI519" si="2363">+(AG519-AG512)/AG512</f>
        <v>0.28840245775729645</v>
      </c>
      <c r="AJ519" s="50"/>
      <c r="AK519" s="111"/>
      <c r="AL519" s="23">
        <f t="shared" ref="AL519" si="2364">+AP519-AP518</f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ref="AR519" si="2365">+AL519/AP518</f>
        <v>2.7945706114541054E-3</v>
      </c>
      <c r="AS519" s="25"/>
      <c r="AT519" s="25"/>
      <c r="AU519" s="24"/>
      <c r="AV519" s="298">
        <f t="shared" ref="AV519" si="2366">+AP519/H519</f>
        <v>0.83219074203202603</v>
      </c>
      <c r="AW519" s="298"/>
      <c r="AX519" s="24">
        <f t="shared" ref="AX519" si="2367">+AP519/BW519</f>
        <v>58921.694117647057</v>
      </c>
      <c r="AY519" s="308"/>
      <c r="AZ519" s="111"/>
      <c r="BA519" s="65">
        <f t="shared" ref="BA519" si="2368">+BC519-BC518</f>
        <v>3442163</v>
      </c>
      <c r="BB519" s="66"/>
      <c r="BC519" s="66">
        <v>551091085</v>
      </c>
      <c r="BD519" s="66"/>
      <c r="BE519" s="66">
        <f t="shared" ref="BE519" si="2369">+D519</f>
        <v>144635</v>
      </c>
      <c r="BF519" s="66"/>
      <c r="BG519" s="144">
        <f t="shared" ref="BG519" si="2370">+BE519/BA519</f>
        <v>4.2018637699609229E-2</v>
      </c>
      <c r="BH519" s="66"/>
      <c r="BI519" s="170"/>
      <c r="BJ519" s="66"/>
      <c r="BK519" s="66">
        <f t="shared" ref="BK519" si="2371">SUM(BA513:BA519)</f>
        <v>10708736</v>
      </c>
      <c r="BL519" s="66"/>
      <c r="BM519" s="144">
        <f t="shared" ref="BM519" si="2372">+Q519/BK519</f>
        <v>6.4737332211756829E-2</v>
      </c>
      <c r="BN519" s="65">
        <f t="shared" ref="BN519" si="2373">+BC519/BW519</f>
        <v>1080570.7549019607</v>
      </c>
      <c r="BO519" s="66"/>
      <c r="BP519" s="66">
        <f t="shared" ref="BP519" si="2374">+BP518+BE519</f>
        <v>35202609</v>
      </c>
      <c r="BQ519" s="66"/>
      <c r="BR519" s="435">
        <f t="shared" ref="BR519" si="2375">+BP519/BC519</f>
        <v>6.387802299505535E-2</v>
      </c>
      <c r="BS519" s="66"/>
      <c r="BT519" s="75"/>
      <c r="BU519" s="170"/>
      <c r="BV519" s="1"/>
      <c r="BW519" s="61">
        <f t="shared" si="1175"/>
        <v>510</v>
      </c>
    </row>
    <row r="520" spans="2:75" x14ac:dyDescent="0.3">
      <c r="B520" s="158">
        <f t="shared" si="2350"/>
        <v>44420</v>
      </c>
      <c r="C520" s="61"/>
      <c r="D520" s="17">
        <v>143537</v>
      </c>
      <c r="E520" s="16"/>
      <c r="F520" s="16"/>
      <c r="G520" s="16"/>
      <c r="H520" s="16">
        <f t="shared" ref="H520" si="2376">+H519+D520</f>
        <v>36253124</v>
      </c>
      <c r="I520" s="16"/>
      <c r="J520" s="436">
        <f t="shared" ref="J520" si="2377">+D520/H519</f>
        <v>3.975038540318946E-3</v>
      </c>
      <c r="K520" s="16"/>
      <c r="L520" s="16"/>
      <c r="M520" s="16"/>
      <c r="N520" s="16">
        <f t="shared" ref="N520" si="2378">SUM(D514:D520)</f>
        <v>715847</v>
      </c>
      <c r="O520" s="16">
        <f t="shared" ref="O520" si="2379">+H520/BW520</f>
        <v>70945.448140900189</v>
      </c>
      <c r="P520" s="41"/>
      <c r="Q520" s="17">
        <f t="shared" ref="Q520" si="2380">SUM(D514:D520)</f>
        <v>715847</v>
      </c>
      <c r="R520" s="16"/>
      <c r="S520" s="60">
        <f t="shared" ref="S520" si="2381">+(Q520-Q513)/Q513</f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ref="Z520" si="2382">SUM(W515:W520)</f>
        <v>2706</v>
      </c>
      <c r="AA520" s="33">
        <f t="shared" ref="AA520" si="2383">+AA519+W520</f>
        <v>618332</v>
      </c>
      <c r="AB520" s="33"/>
      <c r="AC520" s="46">
        <f t="shared" ref="AC520" si="2384">+AA520/H520</f>
        <v>1.7055964611491135E-2</v>
      </c>
      <c r="AD520" s="33"/>
      <c r="AE520" s="33">
        <f t="shared" ref="AE520" si="2385">+AA520/BW520</f>
        <v>1210.0430528375734</v>
      </c>
      <c r="AF520" s="50"/>
      <c r="AG520" s="33">
        <f t="shared" ref="AG520" si="2386">SUM(W514:W520)</f>
        <v>3456</v>
      </c>
      <c r="AH520" s="33">
        <f t="shared" ref="AH520" si="2387">SUM(D491:D963)</f>
        <v>1121765875.060914</v>
      </c>
      <c r="AI520" s="213">
        <f t="shared" ref="AI520" si="2388">+(AG520-AG513)/AG513</f>
        <v>0.29051530993278568</v>
      </c>
      <c r="AJ520" s="50"/>
      <c r="AK520" s="111"/>
      <c r="AL520" s="23">
        <f t="shared" ref="AL520" si="2389">+AP520-AP519</f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ref="AR520" si="2390">+AL520/AP519</f>
        <v>1.5918102537152666E-3</v>
      </c>
      <c r="AS520" s="25"/>
      <c r="AT520" s="25"/>
      <c r="AU520" s="24"/>
      <c r="AV520" s="298">
        <f t="shared" ref="AV520" si="2391">+AP520/H520</f>
        <v>0.83021529399783589</v>
      </c>
      <c r="AW520" s="298"/>
      <c r="AX520" s="24">
        <f t="shared" ref="AX520" si="2392">+AP520/BW520</f>
        <v>58899.996086105675</v>
      </c>
      <c r="AY520" s="308"/>
      <c r="AZ520" s="111"/>
      <c r="BA520" s="65">
        <f t="shared" ref="BA520" si="2393">+BC520-BC519</f>
        <v>1317096</v>
      </c>
      <c r="BB520" s="66"/>
      <c r="BC520" s="66">
        <v>552408181</v>
      </c>
      <c r="BD520" s="66"/>
      <c r="BE520" s="66">
        <f t="shared" ref="BE520" si="2394">+D520</f>
        <v>143537</v>
      </c>
      <c r="BF520" s="66"/>
      <c r="BG520" s="144">
        <f t="shared" ref="BG520" si="2395">+BE520/BA520</f>
        <v>0.10897990731123623</v>
      </c>
      <c r="BH520" s="66"/>
      <c r="BI520" s="170"/>
      <c r="BJ520" s="66"/>
      <c r="BK520" s="66">
        <f t="shared" ref="BK520" si="2396">SUM(BA514:BA520)</f>
        <v>10925219</v>
      </c>
      <c r="BL520" s="66"/>
      <c r="BM520" s="144">
        <f t="shared" ref="BM520" si="2397">+Q520/BK520</f>
        <v>6.5522439412884992E-2</v>
      </c>
      <c r="BN520" s="65">
        <f t="shared" ref="BN520" si="2398">+BC520/BW520</f>
        <v>1081033.6223091977</v>
      </c>
      <c r="BO520" s="66"/>
      <c r="BP520" s="66">
        <f t="shared" ref="BP520" si="2399">+BP519+BE520</f>
        <v>35346146</v>
      </c>
      <c r="BQ520" s="66"/>
      <c r="BR520" s="435">
        <f t="shared" ref="BR520" si="2400">+BP520/BC520</f>
        <v>6.3985558533934894E-2</v>
      </c>
      <c r="BS520" s="66"/>
      <c r="BT520" s="75"/>
      <c r="BU520" s="170"/>
      <c r="BV520" s="1"/>
      <c r="BW520" s="61">
        <f t="shared" si="1175"/>
        <v>511</v>
      </c>
    </row>
    <row r="521" spans="2:75" x14ac:dyDescent="0.3">
      <c r="B521" s="158">
        <f t="shared" si="2350"/>
        <v>44421</v>
      </c>
      <c r="C521" s="61"/>
      <c r="D521" s="17">
        <v>155297</v>
      </c>
      <c r="E521" s="16"/>
      <c r="F521" s="16"/>
      <c r="G521" s="16"/>
      <c r="H521" s="16">
        <f t="shared" ref="H521" si="2401">+H520+D521</f>
        <v>36408421</v>
      </c>
      <c r="I521" s="16"/>
      <c r="J521" s="436">
        <f t="shared" ref="J521" si="2402">+D521/H520</f>
        <v>4.2836860073079495E-3</v>
      </c>
      <c r="K521" s="16"/>
      <c r="L521" s="16"/>
      <c r="M521" s="16"/>
      <c r="N521" s="16">
        <f t="shared" ref="N521" si="2403">SUM(D515:D521)</f>
        <v>740438</v>
      </c>
      <c r="O521" s="16">
        <f t="shared" ref="O521" si="2404">+H521/BW521</f>
        <v>71110.197265625</v>
      </c>
      <c r="P521" s="41"/>
      <c r="Q521" s="17">
        <f t="shared" ref="Q521" si="2405">SUM(D515:D521)</f>
        <v>740438</v>
      </c>
      <c r="R521" s="16"/>
      <c r="S521" s="60">
        <f t="shared" ref="S521" si="2406">+(Q521-Q514)/Q514</f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ref="Z521" si="2407">SUM(W516:W521)</f>
        <v>3155</v>
      </c>
      <c r="AA521" s="33">
        <f t="shared" ref="AA521" si="2408">+AA520+W521</f>
        <v>619101</v>
      </c>
      <c r="AB521" s="33"/>
      <c r="AC521" s="46">
        <f t="shared" ref="AC521" si="2409">+AA521/H521</f>
        <v>1.7004335343188876E-2</v>
      </c>
      <c r="AD521" s="33"/>
      <c r="AE521" s="33">
        <f t="shared" ref="AE521" si="2410">+AA521/BW521</f>
        <v>1209.181640625</v>
      </c>
      <c r="AF521" s="50"/>
      <c r="AG521" s="33">
        <f t="shared" ref="AG521" si="2411">SUM(W515:W521)</f>
        <v>3475</v>
      </c>
      <c r="AH521" s="33">
        <f t="shared" ref="AH521" si="2412">SUM(D492:D964)</f>
        <v>1121730428.060914</v>
      </c>
      <c r="AI521" s="213">
        <f t="shared" ref="AI521" si="2413">+(AG521-AG514)/AG514</f>
        <v>0.1587195731910637</v>
      </c>
      <c r="AJ521" s="50"/>
      <c r="AK521" s="111"/>
      <c r="AL521" s="23">
        <f t="shared" ref="AL521" si="2414">+AP521-AP520</f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ref="AR521" si="2415">+AL521/AP520</f>
        <v>1.0696428036270174E-3</v>
      </c>
      <c r="AS521" s="25"/>
      <c r="AT521" s="25"/>
      <c r="AU521" s="24"/>
      <c r="AV521" s="298">
        <f t="shared" ref="AV521" si="2416">+AP521/H521</f>
        <v>0.82755832778356408</v>
      </c>
      <c r="AW521" s="298"/>
      <c r="AX521" s="24">
        <f t="shared" ref="AX521" si="2417">+AP521/BW521</f>
        <v>58847.8359375</v>
      </c>
      <c r="AY521" s="308"/>
      <c r="AZ521" s="111"/>
      <c r="BA521" s="65">
        <f t="shared" ref="BA521" si="2418">+BC521-BC520</f>
        <v>1559142</v>
      </c>
      <c r="BB521" s="66"/>
      <c r="BC521" s="66">
        <v>553967323</v>
      </c>
      <c r="BD521" s="66"/>
      <c r="BE521" s="66">
        <f t="shared" ref="BE521" si="2419">+D521</f>
        <v>155297</v>
      </c>
      <c r="BF521" s="66"/>
      <c r="BG521" s="144">
        <f t="shared" ref="BG521" si="2420">+BE521/BA521</f>
        <v>9.9604141252047598E-2</v>
      </c>
      <c r="BH521" s="66"/>
      <c r="BI521" s="170"/>
      <c r="BJ521" s="66"/>
      <c r="BK521" s="66">
        <f t="shared" ref="BK521" si="2421">SUM(BA515:BA521)</f>
        <v>11075476</v>
      </c>
      <c r="BL521" s="66"/>
      <c r="BM521" s="144">
        <f t="shared" ref="BM521" si="2422">+Q521/BK521</f>
        <v>6.6853830932413205E-2</v>
      </c>
      <c r="BN521" s="65">
        <f t="shared" ref="BN521" si="2423">+BC521/BW521</f>
        <v>1081967.427734375</v>
      </c>
      <c r="BO521" s="66"/>
      <c r="BP521" s="66">
        <f t="shared" ref="BP521" si="2424">+BP520+BE521</f>
        <v>35501443</v>
      </c>
      <c r="BQ521" s="66"/>
      <c r="BR521" s="435">
        <f t="shared" ref="BR521" si="2425">+BP521/BC521</f>
        <v>6.408580709732585E-2</v>
      </c>
      <c r="BS521" s="66"/>
      <c r="BT521" s="75"/>
      <c r="BU521" s="170"/>
      <c r="BV521" s="1"/>
      <c r="BW521" s="61">
        <f t="shared" si="1175"/>
        <v>512</v>
      </c>
    </row>
    <row r="522" spans="2:75" x14ac:dyDescent="0.3">
      <c r="B522" s="158">
        <f t="shared" si="2350"/>
        <v>44422</v>
      </c>
      <c r="C522" s="61"/>
      <c r="D522" s="17">
        <v>71135</v>
      </c>
      <c r="E522" s="16"/>
      <c r="F522" s="16"/>
      <c r="G522" s="16"/>
      <c r="H522" s="16">
        <f t="shared" ref="H522" si="2426">+H521+D522</f>
        <v>36479556</v>
      </c>
      <c r="I522" s="16"/>
      <c r="J522" s="436">
        <f t="shared" ref="J522" si="2427">+D522/H521</f>
        <v>1.953806236200136E-3</v>
      </c>
      <c r="K522" s="16"/>
      <c r="L522" s="16"/>
      <c r="M522" s="16"/>
      <c r="N522" s="16">
        <f t="shared" ref="N522" si="2428">SUM(D516:D522)</f>
        <v>742623</v>
      </c>
      <c r="O522" s="16">
        <f t="shared" ref="O522" si="2429">+H522/BW522</f>
        <v>71110.245614035084</v>
      </c>
      <c r="P522" s="41"/>
      <c r="Q522" s="17">
        <f t="shared" ref="Q522" si="2430">SUM(D516:D522)</f>
        <v>742623</v>
      </c>
      <c r="R522" s="16"/>
      <c r="S522" s="60">
        <f t="shared" ref="S522" si="2431">+(Q522-Q515)/Q515</f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ref="Z522" si="2432">SUM(W517:W522)</f>
        <v>3284</v>
      </c>
      <c r="AA522" s="33">
        <f t="shared" ref="AA522" si="2433">+AA521+W522</f>
        <v>619359</v>
      </c>
      <c r="AB522" s="33"/>
      <c r="AC522" s="46">
        <f t="shared" ref="AC522" si="2434">+AA522/H522</f>
        <v>1.6978249406325013E-2</v>
      </c>
      <c r="AD522" s="33"/>
      <c r="AE522" s="33">
        <f t="shared" ref="AE522" si="2435">+AA522/BW522</f>
        <v>1207.327485380117</v>
      </c>
      <c r="AF522" s="50"/>
      <c r="AG522" s="33">
        <f t="shared" ref="AG522" si="2436">SUM(W516:W522)</f>
        <v>3413</v>
      </c>
      <c r="AH522" s="33">
        <f t="shared" ref="AH522" si="2437">SUM(D493:D965)</f>
        <v>1121693754.060914</v>
      </c>
      <c r="AI522" s="213">
        <f t="shared" ref="AI522" si="2438">+(AG522-AG515)/AG515</f>
        <v>0.10883690708252111</v>
      </c>
      <c r="AJ522" s="50"/>
      <c r="AK522" s="111"/>
      <c r="AL522" s="23">
        <f t="shared" ref="AL522" si="2439">+AP522-AP521</f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ref="AR522" si="2440">+AL522/AP521</f>
        <v>4.8181067618379656E-4</v>
      </c>
      <c r="AS522" s="25"/>
      <c r="AT522" s="25"/>
      <c r="AU522" s="24"/>
      <c r="AV522" s="298">
        <f t="shared" ref="AV522" si="2441">+AP522/H522</f>
        <v>0.82634254101118998</v>
      </c>
      <c r="AW522" s="298"/>
      <c r="AX522" s="24">
        <f t="shared" ref="AX522" si="2442">+AP522/BW522</f>
        <v>58761.42105263158</v>
      </c>
      <c r="AY522" s="308"/>
      <c r="AZ522" s="111"/>
      <c r="BA522" s="65">
        <f t="shared" ref="BA522" si="2443">+BC522-BC521</f>
        <v>775678</v>
      </c>
      <c r="BB522" s="66"/>
      <c r="BC522" s="66">
        <v>554743001</v>
      </c>
      <c r="BD522" s="66"/>
      <c r="BE522" s="66">
        <f t="shared" ref="BE522" si="2444">+D522</f>
        <v>71135</v>
      </c>
      <c r="BF522" s="66"/>
      <c r="BG522" s="144">
        <f t="shared" ref="BG522" si="2445">+BE522/BA522</f>
        <v>9.1706868056074808E-2</v>
      </c>
      <c r="BH522" s="66"/>
      <c r="BI522" s="170"/>
      <c r="BJ522" s="66"/>
      <c r="BK522" s="66">
        <f t="shared" ref="BK522" si="2446">SUM(BA516:BA522)</f>
        <v>11014420</v>
      </c>
      <c r="BL522" s="66"/>
      <c r="BM522" s="144">
        <f t="shared" ref="BM522" si="2447">+Q522/BK522</f>
        <v>6.7422796661104262E-2</v>
      </c>
      <c r="BN522" s="65">
        <f t="shared" ref="BN522" si="2448">+BC522/BW522</f>
        <v>1081370.3723196881</v>
      </c>
      <c r="BO522" s="66"/>
      <c r="BP522" s="66">
        <f t="shared" ref="BP522" si="2449">+BP521+BE522</f>
        <v>35572578</v>
      </c>
      <c r="BQ522" s="66"/>
      <c r="BR522" s="435">
        <f t="shared" ref="BR522" si="2450">+BP522/BC522</f>
        <v>6.4124428673954556E-2</v>
      </c>
      <c r="BS522" s="66"/>
      <c r="BT522" s="75"/>
      <c r="BU522" s="170"/>
      <c r="BV522" s="1"/>
      <c r="BW522" s="61">
        <f t="shared" si="1175"/>
        <v>513</v>
      </c>
    </row>
    <row r="523" spans="2:75" x14ac:dyDescent="0.3">
      <c r="B523" s="347">
        <f t="shared" si="2350"/>
        <v>44423</v>
      </c>
      <c r="C523" s="61"/>
      <c r="D523" s="17">
        <v>30883</v>
      </c>
      <c r="E523" s="16"/>
      <c r="F523" s="16"/>
      <c r="G523" s="16"/>
      <c r="H523" s="16">
        <f t="shared" ref="H523" si="2451">+H522+D523</f>
        <v>36510439</v>
      </c>
      <c r="I523" s="16"/>
      <c r="J523" s="436">
        <f t="shared" ref="J523" si="2452">+D523/H522</f>
        <v>8.4658376872788694E-4</v>
      </c>
      <c r="K523" s="16"/>
      <c r="L523" s="16"/>
      <c r="M523" s="16"/>
      <c r="N523" s="16">
        <f t="shared" ref="N523" si="2453">SUM(D517:D523)</f>
        <v>749116</v>
      </c>
      <c r="O523" s="16">
        <f t="shared" ref="O523" si="2454">+H523/BW523</f>
        <v>71031.982490272378</v>
      </c>
      <c r="P523" s="41"/>
      <c r="Q523" s="17">
        <f t="shared" ref="Q523" si="2455">SUM(D517:D523)</f>
        <v>749116</v>
      </c>
      <c r="R523" s="16"/>
      <c r="S523" s="60">
        <f t="shared" ref="S523" si="2456">+(Q523-Q516)/Q516</f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ref="Z523" si="2457">SUM(W518:W523)</f>
        <v>3080</v>
      </c>
      <c r="AA523" s="33">
        <f t="shared" ref="AA523" si="2458">+AA522+W523</f>
        <v>619481</v>
      </c>
      <c r="AB523" s="33"/>
      <c r="AC523" s="46">
        <f t="shared" ref="AC523" si="2459">+AA523/H523</f>
        <v>1.6967229564125483E-2</v>
      </c>
      <c r="AD523" s="33"/>
      <c r="AE523" s="33">
        <f t="shared" ref="AE523" si="2460">+AA523/BW523</f>
        <v>1205.215953307393</v>
      </c>
      <c r="AF523" s="50"/>
      <c r="AG523" s="33">
        <f t="shared" ref="AG523" si="2461">SUM(W517:W523)</f>
        <v>3406</v>
      </c>
      <c r="AH523" s="33">
        <f t="shared" ref="AH523" si="2462">SUM(D494:D966)</f>
        <v>1121653225.060914</v>
      </c>
      <c r="AI523" s="213">
        <f t="shared" ref="AI523" si="2463">+(AG523-AG516)/AG516</f>
        <v>8.3678014635698378E-2</v>
      </c>
      <c r="AJ523" s="50"/>
      <c r="AK523" s="111"/>
      <c r="AL523" s="23">
        <f t="shared" ref="AL523" si="2464">+AP523-AP522</f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ref="AR523" si="2465">+AL523/AP522</f>
        <v>2.9746612404227903E-4</v>
      </c>
      <c r="AS523" s="25"/>
      <c r="AT523" s="25"/>
      <c r="AU523" s="24"/>
      <c r="AV523" s="298">
        <f t="shared" ref="AV523" si="2466">+AP523/H523</f>
        <v>0.82588916556166303</v>
      </c>
      <c r="AW523" s="298"/>
      <c r="AX523" s="24">
        <f t="shared" ref="AX523" si="2467">+AP523/BW523</f>
        <v>58664.544747081709</v>
      </c>
      <c r="AY523" s="308"/>
      <c r="AZ523" s="111"/>
      <c r="BA523" s="65">
        <f t="shared" ref="BA523" si="2468">+BC523-BC522</f>
        <v>690474</v>
      </c>
      <c r="BB523" s="66"/>
      <c r="BC523" s="66">
        <v>555433475</v>
      </c>
      <c r="BD523" s="66"/>
      <c r="BE523" s="66">
        <f t="shared" ref="BE523" si="2469">+D523</f>
        <v>30883</v>
      </c>
      <c r="BF523" s="66"/>
      <c r="BG523" s="144">
        <f t="shared" ref="BG523" si="2470">+BE523/BA523</f>
        <v>4.4727245341605909E-2</v>
      </c>
      <c r="BH523" s="66"/>
      <c r="BI523" s="170"/>
      <c r="BJ523" s="66"/>
      <c r="BK523" s="66">
        <f t="shared" ref="BK523" si="2471">SUM(BA517:BA523)</f>
        <v>11052013</v>
      </c>
      <c r="BL523" s="66"/>
      <c r="BM523" s="144">
        <f t="shared" ref="BM523" si="2472">+Q523/BK523</f>
        <v>6.7780955378897945E-2</v>
      </c>
      <c r="BN523" s="65">
        <f t="shared" ref="BN523" si="2473">+BC523/BW523</f>
        <v>1080609.8735408559</v>
      </c>
      <c r="BO523" s="66"/>
      <c r="BP523" s="66">
        <f t="shared" ref="BP523" si="2474">+BP522+BE523</f>
        <v>35603461</v>
      </c>
      <c r="BQ523" s="66"/>
      <c r="BR523" s="435">
        <f t="shared" ref="BR523" si="2475">+BP523/BC523</f>
        <v>6.4100315523834786E-2</v>
      </c>
      <c r="BS523" s="66"/>
      <c r="BT523" s="75"/>
      <c r="BU523" s="170"/>
      <c r="BV523" s="1"/>
      <c r="BW523" s="61">
        <f t="shared" si="1175"/>
        <v>514</v>
      </c>
    </row>
    <row r="524" spans="2:75" x14ac:dyDescent="0.3">
      <c r="B524" s="158">
        <f t="shared" si="2350"/>
        <v>44424</v>
      </c>
      <c r="C524" s="61"/>
      <c r="D524" s="17">
        <v>103697</v>
      </c>
      <c r="E524" s="16"/>
      <c r="F524" s="16"/>
      <c r="G524" s="16"/>
      <c r="H524" s="16">
        <f t="shared" ref="H524" si="2476">+H523+D524</f>
        <v>36614136</v>
      </c>
      <c r="I524" s="16"/>
      <c r="J524" s="436">
        <f t="shared" ref="J524" si="2477">+D524/H523</f>
        <v>2.8402014010294424E-3</v>
      </c>
      <c r="K524" s="16"/>
      <c r="L524" s="16"/>
      <c r="M524" s="16"/>
      <c r="N524" s="16">
        <f t="shared" ref="N524" si="2478">SUM(D518:D524)</f>
        <v>750438</v>
      </c>
      <c r="O524" s="16">
        <f t="shared" ref="O524" si="2479">+H524/BW524</f>
        <v>71095.409708737861</v>
      </c>
      <c r="P524" s="41"/>
      <c r="Q524" s="17">
        <f t="shared" ref="Q524" si="2480">SUM(D518:D524)</f>
        <v>750438</v>
      </c>
      <c r="R524" s="16"/>
      <c r="S524" s="60">
        <f t="shared" ref="S524" si="2481">+(Q524-Q517)/Q517</f>
        <v>0.12949219073363605</v>
      </c>
      <c r="T524" s="16"/>
      <c r="U524" s="41"/>
      <c r="V524" s="10">
        <f t="shared" si="349"/>
        <v>416</v>
      </c>
      <c r="W524" s="34">
        <v>308</v>
      </c>
      <c r="X524" s="33">
        <v>4256</v>
      </c>
      <c r="Y524" s="33"/>
      <c r="Z524" s="33">
        <f t="shared" ref="Z524" si="2482">SUM(W519:W524)</f>
        <v>2731</v>
      </c>
      <c r="AA524" s="33">
        <f t="shared" ref="AA524" si="2483">+AA523+W524</f>
        <v>619789</v>
      </c>
      <c r="AB524" s="33"/>
      <c r="AC524" s="46">
        <f t="shared" ref="AC524" si="2484">+AA524/H524</f>
        <v>1.692758774916879E-2</v>
      </c>
      <c r="AD524" s="33"/>
      <c r="AE524" s="33">
        <f t="shared" ref="AE524" si="2485">+AA524/BW524</f>
        <v>1203.473786407767</v>
      </c>
      <c r="AF524" s="50"/>
      <c r="AG524" s="33">
        <f t="shared" ref="AG524" si="2486">SUM(W518:W524)</f>
        <v>3388</v>
      </c>
      <c r="AH524" s="33">
        <f t="shared" ref="AH524" si="2487">SUM(D495:D967)</f>
        <v>1121629144.060914</v>
      </c>
      <c r="AI524" s="213">
        <f t="shared" ref="AI524" si="2488">+(AG524-AG517)/AG517</f>
        <v>4.0540540540540543E-2</v>
      </c>
      <c r="AJ524" s="50"/>
      <c r="AK524" s="111"/>
      <c r="AL524" s="23">
        <f t="shared" ref="AL524" si="2489">+AP524-AP523</f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ref="AR524" si="2490">+AL524/AP523</f>
        <v>2.4450168033138091E-3</v>
      </c>
      <c r="AS524" s="25"/>
      <c r="AT524" s="25"/>
      <c r="AU524" s="24"/>
      <c r="AV524" s="298">
        <f t="shared" ref="AV524" si="2491">+AP524/H524</f>
        <v>0.82556371123983374</v>
      </c>
      <c r="AW524" s="298"/>
      <c r="AX524" s="24">
        <f t="shared" ref="AX524" si="2492">+AP524/BW524</f>
        <v>58693.790291262136</v>
      </c>
      <c r="AY524" s="308"/>
      <c r="AZ524" s="111"/>
      <c r="BA524" s="65">
        <f t="shared" ref="BA524" si="2493">+BC524-BC523</f>
        <v>2711353</v>
      </c>
      <c r="BB524" s="66"/>
      <c r="BC524" s="66">
        <v>558144828</v>
      </c>
      <c r="BD524" s="66"/>
      <c r="BE524" s="66">
        <f t="shared" ref="BE524" si="2494">+D524</f>
        <v>103697</v>
      </c>
      <c r="BF524" s="66"/>
      <c r="BG524" s="144">
        <f t="shared" ref="BG524" si="2495">+BE524/BA524</f>
        <v>3.824548113063847E-2</v>
      </c>
      <c r="BH524" s="66"/>
      <c r="BI524" s="170"/>
      <c r="BJ524" s="66"/>
      <c r="BK524" s="66">
        <f t="shared" ref="BK524" si="2496">SUM(BA518:BA524)</f>
        <v>11522689</v>
      </c>
      <c r="BL524" s="66"/>
      <c r="BM524" s="144">
        <f t="shared" ref="BM524" si="2497">+Q524/BK524</f>
        <v>6.5126985549987512E-2</v>
      </c>
      <c r="BN524" s="65">
        <f t="shared" ref="BN524" si="2498">+BC524/BW524</f>
        <v>1083776.3650485438</v>
      </c>
      <c r="BO524" s="66"/>
      <c r="BP524" s="66">
        <f t="shared" ref="BP524" si="2499">+BP523+BE524</f>
        <v>35707158</v>
      </c>
      <c r="BQ524" s="66"/>
      <c r="BR524" s="435">
        <f t="shared" ref="BR524" si="2500">+BP524/BC524</f>
        <v>6.3974718045761408E-2</v>
      </c>
      <c r="BS524" s="66"/>
      <c r="BT524" s="75"/>
      <c r="BU524" s="170"/>
      <c r="BV524" s="1"/>
      <c r="BW524" s="61">
        <f t="shared" si="1175"/>
        <v>515</v>
      </c>
    </row>
    <row r="525" spans="2:75" x14ac:dyDescent="0.3">
      <c r="B525" s="158">
        <f t="shared" si="2350"/>
        <v>44425</v>
      </c>
      <c r="C525" s="61"/>
      <c r="D525" s="17">
        <v>144294</v>
      </c>
      <c r="E525" s="16"/>
      <c r="F525" s="16"/>
      <c r="G525" s="16"/>
      <c r="H525" s="16">
        <f t="shared" ref="H525" si="2501">+H524+D525</f>
        <v>36758430</v>
      </c>
      <c r="I525" s="16"/>
      <c r="J525" s="436">
        <f t="shared" ref="J525" si="2502">+D525/H524</f>
        <v>3.9409369102687553E-3</v>
      </c>
      <c r="K525" s="16"/>
      <c r="L525" s="16"/>
      <c r="M525" s="16"/>
      <c r="N525" s="16">
        <f t="shared" ref="N525" si="2503">SUM(D519:D525)</f>
        <v>793478</v>
      </c>
      <c r="O525" s="16">
        <f t="shared" ref="O525" si="2504">+H525/BW525</f>
        <v>71237.267441860458</v>
      </c>
      <c r="P525" s="41"/>
      <c r="Q525" s="17">
        <f t="shared" ref="Q525" si="2505">SUM(D519:D525)</f>
        <v>793478</v>
      </c>
      <c r="R525" s="16"/>
      <c r="S525" s="60">
        <f t="shared" ref="S525" si="2506">+(Q525-Q518)/Q518</f>
        <v>0.2006040257285909</v>
      </c>
      <c r="T525" s="16"/>
      <c r="U525" s="41"/>
      <c r="V525" s="10">
        <f t="shared" si="349"/>
        <v>417</v>
      </c>
      <c r="W525" s="34">
        <v>945</v>
      </c>
      <c r="X525" s="33">
        <v>4256</v>
      </c>
      <c r="Y525" s="33"/>
      <c r="Z525" s="33">
        <f t="shared" ref="Z525" si="2507">SUM(W520:W525)</f>
        <v>3062</v>
      </c>
      <c r="AA525" s="33">
        <f t="shared" ref="AA525" si="2508">+AA524+W525</f>
        <v>620734</v>
      </c>
      <c r="AB525" s="33"/>
      <c r="AC525" s="46">
        <f t="shared" ref="AC525" si="2509">+AA525/H525</f>
        <v>1.6886847452407514E-2</v>
      </c>
      <c r="AD525" s="33"/>
      <c r="AE525" s="33">
        <f t="shared" ref="AE525" si="2510">+AA525/BW525</f>
        <v>1202.9728682170542</v>
      </c>
      <c r="AF525" s="50"/>
      <c r="AG525" s="33">
        <f t="shared" ref="AG525" si="2511">SUM(W519:W525)</f>
        <v>3676</v>
      </c>
      <c r="AH525" s="33">
        <f t="shared" ref="AH525" si="2512">SUM(D496:D968)</f>
        <v>1121606866.060914</v>
      </c>
      <c r="AI525" s="213">
        <f t="shared" ref="AI525" si="2513">+(AG525-AG518)/AG518</f>
        <v>8.2131292316750079E-2</v>
      </c>
      <c r="AJ525" s="50"/>
      <c r="AK525" s="111"/>
      <c r="AL525" s="23">
        <f t="shared" ref="AL525" si="2514">+AP525-AP524</f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ref="AR525" si="2515">+AL525/AP524</f>
        <v>2.159736254330605E-3</v>
      </c>
      <c r="AS525" s="25"/>
      <c r="AT525" s="25"/>
      <c r="AU525" s="24"/>
      <c r="AV525" s="298">
        <f t="shared" ref="AV525" si="2516">+AP525/H525</f>
        <v>0.82409898899381717</v>
      </c>
      <c r="AW525" s="298"/>
      <c r="AX525" s="24">
        <f t="shared" ref="AX525" si="2517">+AP525/BW525</f>
        <v>58706.560077519382</v>
      </c>
      <c r="AY525" s="308"/>
      <c r="AZ525" s="111"/>
      <c r="BA525" s="65">
        <f t="shared" ref="BA525" si="2518">+BC525-BC524</f>
        <v>2301291</v>
      </c>
      <c r="BB525" s="66"/>
      <c r="BC525" s="66">
        <v>560446119</v>
      </c>
      <c r="BD525" s="66"/>
      <c r="BE525" s="66">
        <f t="shared" ref="BE525" si="2519">+D525</f>
        <v>144294</v>
      </c>
      <c r="BF525" s="66"/>
      <c r="BG525" s="144">
        <f t="shared" ref="BG525" si="2520">+BE525/BA525</f>
        <v>6.2701327211552124E-2</v>
      </c>
      <c r="BH525" s="66"/>
      <c r="BI525" s="170"/>
      <c r="BJ525" s="66"/>
      <c r="BK525" s="66">
        <f t="shared" ref="BK525" si="2521">SUM(BA519:BA525)</f>
        <v>12797197</v>
      </c>
      <c r="BL525" s="66"/>
      <c r="BM525" s="144">
        <f t="shared" ref="BM525" si="2522">+Q525/BK525</f>
        <v>6.2004046667406935E-2</v>
      </c>
      <c r="BN525" s="65">
        <f t="shared" ref="BN525" si="2523">+BC525/BW525</f>
        <v>1086135.8895348837</v>
      </c>
      <c r="BO525" s="66"/>
      <c r="BP525" s="66">
        <f t="shared" ref="BP525" si="2524">+BP524+BE525</f>
        <v>35851452</v>
      </c>
      <c r="BQ525" s="66"/>
      <c r="BR525" s="435">
        <f t="shared" ref="BR525" si="2525">+BP525/BC525</f>
        <v>6.3969489277523217E-2</v>
      </c>
      <c r="BS525" s="66"/>
      <c r="BT525" s="75"/>
      <c r="BU525" s="170"/>
      <c r="BV525" s="1"/>
      <c r="BW525" s="61">
        <f t="shared" si="1175"/>
        <v>516</v>
      </c>
    </row>
    <row r="526" spans="2:75" x14ac:dyDescent="0.3">
      <c r="B526" s="158">
        <f t="shared" si="2350"/>
        <v>44426</v>
      </c>
      <c r="C526" s="61"/>
      <c r="D526" s="17">
        <v>158127</v>
      </c>
      <c r="E526" s="16"/>
      <c r="F526" s="16"/>
      <c r="G526" s="16"/>
      <c r="H526" s="16">
        <f t="shared" ref="H526" si="2526">+H525+D526</f>
        <v>36916557</v>
      </c>
      <c r="I526" s="16"/>
      <c r="J526" s="436">
        <f t="shared" ref="J526" si="2527">+D526/H525</f>
        <v>4.3017887325437999E-3</v>
      </c>
      <c r="K526" s="16"/>
      <c r="L526" s="16"/>
      <c r="M526" s="16"/>
      <c r="N526" s="16">
        <f t="shared" ref="N526" si="2528">SUM(D520:D526)</f>
        <v>806970</v>
      </c>
      <c r="O526" s="16">
        <f t="shared" ref="O526" si="2529">+H526/BW526</f>
        <v>71405.332688588009</v>
      </c>
      <c r="P526" s="41"/>
      <c r="Q526" s="17">
        <f t="shared" ref="Q526" si="2530">SUM(D520:D526)</f>
        <v>806970</v>
      </c>
      <c r="R526" s="16"/>
      <c r="S526" s="60">
        <f t="shared" ref="S526" si="2531">+(Q526-Q519)/Q519</f>
        <v>0.16403055152865828</v>
      </c>
      <c r="T526" s="16"/>
      <c r="U526" s="41"/>
      <c r="V526" s="10">
        <f t="shared" si="349"/>
        <v>418</v>
      </c>
      <c r="W526" s="34">
        <v>1127</v>
      </c>
      <c r="X526" s="33">
        <v>4256</v>
      </c>
      <c r="Y526" s="33"/>
      <c r="Z526" s="33">
        <f t="shared" ref="Z526" si="2532">SUM(W521:W526)</f>
        <v>3529</v>
      </c>
      <c r="AA526" s="33">
        <f t="shared" ref="AA526" si="2533">+AA525+W526</f>
        <v>621861</v>
      </c>
      <c r="AB526" s="33"/>
      <c r="AC526" s="46">
        <f t="shared" ref="AC526" si="2534">+AA526/H526</f>
        <v>1.6845043268796708E-2</v>
      </c>
      <c r="AD526" s="33"/>
      <c r="AE526" s="33">
        <f t="shared" ref="AE526" si="2535">+AA526/BW526</f>
        <v>1202.825918762089</v>
      </c>
      <c r="AF526" s="50"/>
      <c r="AG526" s="33">
        <f t="shared" ref="AG526" si="2536">SUM(W520:W526)</f>
        <v>4189</v>
      </c>
      <c r="AH526" s="33">
        <f t="shared" ref="AH526" si="2537">SUM(D497:D969)</f>
        <v>1121574290.060914</v>
      </c>
      <c r="AI526" s="213">
        <f t="shared" ref="AI526" si="2538">+(AG526-AG519)/AG519</f>
        <v>0.24858420268256334</v>
      </c>
      <c r="AJ526" s="50"/>
      <c r="AK526" s="111"/>
      <c r="AL526" s="23">
        <f t="shared" ref="AL526" si="2539">+AP526-AP525</f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ref="AR526" si="2540">+AL526/AP525</f>
        <v>1.6274939890405524E-3</v>
      </c>
      <c r="AS526" s="25"/>
      <c r="AT526" s="25"/>
      <c r="AU526" s="24"/>
      <c r="AV526" s="298">
        <f t="shared" ref="AV526" si="2541">+AP526/H526</f>
        <v>0.82190454543201308</v>
      </c>
      <c r="AW526" s="298"/>
      <c r="AX526" s="24">
        <f t="shared" ref="AX526" si="2542">+AP526/BW526</f>
        <v>58688.367504835587</v>
      </c>
      <c r="AY526" s="308"/>
      <c r="AZ526" s="111"/>
      <c r="BA526" s="65">
        <f t="shared" ref="BA526" si="2543">+BC526-BC525</f>
        <v>1381861</v>
      </c>
      <c r="BB526" s="66"/>
      <c r="BC526" s="66">
        <v>561827980</v>
      </c>
      <c r="BD526" s="66"/>
      <c r="BE526" s="66">
        <f t="shared" ref="BE526" si="2544">+D526</f>
        <v>158127</v>
      </c>
      <c r="BF526" s="66"/>
      <c r="BG526" s="144">
        <f t="shared" ref="BG526" si="2545">+BE526/BA526</f>
        <v>0.11443046731907189</v>
      </c>
      <c r="BH526" s="66"/>
      <c r="BI526" s="170"/>
      <c r="BJ526" s="66"/>
      <c r="BK526" s="66">
        <f t="shared" ref="BK526" si="2546">SUM(BA520:BA526)</f>
        <v>10736895</v>
      </c>
      <c r="BL526" s="66"/>
      <c r="BM526" s="144">
        <f t="shared" ref="BM526" si="2547">+Q526/BK526</f>
        <v>7.5158600321601363E-2</v>
      </c>
      <c r="BN526" s="65">
        <f t="shared" ref="BN526" si="2548">+BC526/BW526</f>
        <v>1086707.8916827852</v>
      </c>
      <c r="BO526" s="66"/>
      <c r="BP526" s="66">
        <f t="shared" ref="BP526" si="2549">+BP525+BE526</f>
        <v>36009579</v>
      </c>
      <c r="BQ526" s="66"/>
      <c r="BR526" s="435">
        <f t="shared" ref="BR526" si="2550">+BP526/BC526</f>
        <v>6.4093602102195057E-2</v>
      </c>
      <c r="BS526" s="66"/>
      <c r="BT526" s="75"/>
      <c r="BU526" s="170"/>
      <c r="BV526" s="1"/>
      <c r="BW526" s="61">
        <f t="shared" si="1175"/>
        <v>517</v>
      </c>
    </row>
    <row r="527" spans="2:75" x14ac:dyDescent="0.3">
      <c r="B527" s="158">
        <f t="shared" si="2350"/>
        <v>44427</v>
      </c>
      <c r="C527" s="61"/>
      <c r="D527" s="17">
        <v>154917</v>
      </c>
      <c r="E527" s="16"/>
      <c r="F527" s="16"/>
      <c r="G527" s="16"/>
      <c r="H527" s="16">
        <f t="shared" ref="H527" si="2551">+H526+D527</f>
        <v>37071474</v>
      </c>
      <c r="I527" s="16"/>
      <c r="J527" s="436">
        <f t="shared" ref="J527" si="2552">+D527/H526</f>
        <v>4.1964097572804527E-3</v>
      </c>
      <c r="K527" s="16"/>
      <c r="L527" s="16"/>
      <c r="M527" s="16"/>
      <c r="N527" s="16">
        <f t="shared" ref="N527" si="2553">SUM(D521:D527)</f>
        <v>818350</v>
      </c>
      <c r="O527" s="16">
        <f t="shared" ref="O527" si="2554">+H527/BW527</f>
        <v>71566.55212355213</v>
      </c>
      <c r="P527" s="41"/>
      <c r="Q527" s="17">
        <f t="shared" ref="Q527" si="2555">SUM(D521:D527)</f>
        <v>818350</v>
      </c>
      <c r="R527" s="16"/>
      <c r="S527" s="60">
        <f t="shared" ref="S527" si="2556">+(Q527-Q520)/Q520</f>
        <v>0.14319121264739532</v>
      </c>
      <c r="T527" s="16"/>
      <c r="U527" s="41"/>
      <c r="V527" s="10">
        <f t="shared" si="349"/>
        <v>419</v>
      </c>
      <c r="W527" s="34">
        <v>967</v>
      </c>
      <c r="X527" s="33">
        <v>4256</v>
      </c>
      <c r="Y527" s="33"/>
      <c r="Z527" s="33">
        <f t="shared" ref="Z527" si="2557">SUM(W522:W527)</f>
        <v>3727</v>
      </c>
      <c r="AA527" s="33">
        <f t="shared" ref="AA527" si="2558">+AA526+W527</f>
        <v>622828</v>
      </c>
      <c r="AB527" s="33"/>
      <c r="AC527" s="46">
        <f t="shared" ref="AC527" si="2559">+AA527/H527</f>
        <v>1.6800734710467675E-2</v>
      </c>
      <c r="AD527" s="33"/>
      <c r="AE527" s="33">
        <f t="shared" ref="AE527" si="2560">+AA527/BW527</f>
        <v>1202.3706563706564</v>
      </c>
      <c r="AF527" s="50"/>
      <c r="AG527" s="33">
        <f t="shared" ref="AG527" si="2561">SUM(W521:W527)</f>
        <v>4496</v>
      </c>
      <c r="AH527" s="33">
        <f t="shared" ref="AH527" si="2562">SUM(D498:D970)</f>
        <v>1121530058.060914</v>
      </c>
      <c r="AI527" s="213">
        <f t="shared" ref="AI527" si="2563">+(AG527-AG520)/AG520</f>
        <v>0.30092592592592593</v>
      </c>
      <c r="AJ527" s="50"/>
      <c r="AK527" s="111"/>
      <c r="AL527" s="23">
        <f t="shared" ref="AL527" si="2564">+AP527-AP526</f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ref="AR527" si="2565">+AL527/AP526</f>
        <v>1.6077774466623466E-3</v>
      </c>
      <c r="AS527" s="25"/>
      <c r="AT527" s="25"/>
      <c r="AU527" s="24"/>
      <c r="AV527" s="298">
        <f t="shared" ref="AV527" si="2566">+AP527/H527</f>
        <v>0.81978582777690467</v>
      </c>
      <c r="AW527" s="298"/>
      <c r="AX527" s="24">
        <f t="shared" ref="AX527" si="2567">+AP527/BW527</f>
        <v>58669.24517374517</v>
      </c>
      <c r="AY527" s="308"/>
      <c r="AZ527" s="111"/>
      <c r="BA527" s="65">
        <f t="shared" ref="BA527" si="2568">+BC527-BC526</f>
        <v>1539485</v>
      </c>
      <c r="BB527" s="66"/>
      <c r="BC527" s="66">
        <v>563367465</v>
      </c>
      <c r="BD527" s="66"/>
      <c r="BE527" s="66">
        <f t="shared" ref="BE527" si="2569">+D527</f>
        <v>154917</v>
      </c>
      <c r="BF527" s="66"/>
      <c r="BG527" s="144">
        <f t="shared" ref="BG527" si="2570">+BE527/BA527</f>
        <v>0.10062910648690958</v>
      </c>
      <c r="BH527" s="66"/>
      <c r="BI527" s="170"/>
      <c r="BJ527" s="66"/>
      <c r="BK527" s="66">
        <f t="shared" ref="BK527" si="2571">SUM(BA521:BA527)</f>
        <v>10959284</v>
      </c>
      <c r="BL527" s="66"/>
      <c r="BM527" s="144">
        <f t="shared" ref="BM527" si="2572">+Q527/BK527</f>
        <v>7.4671849000354409E-2</v>
      </c>
      <c r="BN527" s="65">
        <f t="shared" ref="BN527" si="2573">+BC527/BW527</f>
        <v>1087581.9787644788</v>
      </c>
      <c r="BO527" s="66"/>
      <c r="BP527" s="66">
        <f t="shared" ref="BP527" si="2574">+BP526+BE527</f>
        <v>36164496</v>
      </c>
      <c r="BQ527" s="66"/>
      <c r="BR527" s="435">
        <f t="shared" ref="BR527" si="2575">+BP527/BC527</f>
        <v>6.4193440776705135E-2</v>
      </c>
      <c r="BS527" s="66"/>
      <c r="BT527" s="75"/>
      <c r="BU527" s="170"/>
      <c r="BV527" s="1"/>
      <c r="BW527" s="61">
        <f t="shared" si="1175"/>
        <v>518</v>
      </c>
    </row>
    <row r="528" spans="2:75" x14ac:dyDescent="0.3">
      <c r="B528" s="158">
        <f t="shared" si="2350"/>
        <v>44428</v>
      </c>
      <c r="C528" s="61"/>
      <c r="D528" s="17">
        <v>151108</v>
      </c>
      <c r="E528" s="16"/>
      <c r="F528" s="16"/>
      <c r="G528" s="16"/>
      <c r="H528" s="16">
        <f t="shared" ref="H528" si="2576">+H527+D528</f>
        <v>37222582</v>
      </c>
      <c r="I528" s="16"/>
      <c r="J528" s="436">
        <f t="shared" ref="J528" si="2577">+D528/H527</f>
        <v>4.076126026173116E-3</v>
      </c>
      <c r="K528" s="16"/>
      <c r="L528" s="16"/>
      <c r="M528" s="16"/>
      <c r="N528" s="16">
        <f t="shared" ref="N528" si="2578">SUM(D522:D528)</f>
        <v>814161</v>
      </c>
      <c r="O528" s="16">
        <f t="shared" ref="O528" si="2579">+H528/BW528</f>
        <v>71719.811175337192</v>
      </c>
      <c r="P528" s="41"/>
      <c r="Q528" s="17">
        <f t="shared" ref="Q528" si="2580">SUM(D522:D528)</f>
        <v>814161</v>
      </c>
      <c r="R528" s="16"/>
      <c r="S528" s="60">
        <f t="shared" ref="S528" si="2581">+(Q528-Q521)/Q521</f>
        <v>9.9566742927834601E-2</v>
      </c>
      <c r="T528" s="16"/>
      <c r="U528" s="41"/>
      <c r="V528" s="10">
        <f t="shared" si="349"/>
        <v>420</v>
      </c>
      <c r="W528" s="34">
        <v>1059</v>
      </c>
      <c r="X528" s="33">
        <v>4256</v>
      </c>
      <c r="Y528" s="33"/>
      <c r="Z528" s="33">
        <f t="shared" ref="Z528" si="2582">SUM(W523:W528)</f>
        <v>4528</v>
      </c>
      <c r="AA528" s="33">
        <f t="shared" ref="AA528" si="2583">+AA527+W528</f>
        <v>623887</v>
      </c>
      <c r="AB528" s="33"/>
      <c r="AC528" s="46">
        <f t="shared" ref="AC528" si="2584">+AA528/H528</f>
        <v>1.6760981277440669E-2</v>
      </c>
      <c r="AD528" s="33"/>
      <c r="AE528" s="33">
        <f t="shared" ref="AE528" si="2585">+AA528/BW528</f>
        <v>1202.0944123314066</v>
      </c>
      <c r="AF528" s="50"/>
      <c r="AG528" s="33">
        <f t="shared" ref="AG528" si="2586">SUM(W522:W528)</f>
        <v>4786</v>
      </c>
      <c r="AH528" s="33">
        <f t="shared" ref="AH528" si="2587">SUM(D499:D971)</f>
        <v>1121473533.060914</v>
      </c>
      <c r="AI528" s="213">
        <f t="shared" ref="AI528" si="2588">+(AG528-AG521)/AG521</f>
        <v>0.37726618705035969</v>
      </c>
      <c r="AJ528" s="50"/>
      <c r="AK528" s="111"/>
      <c r="AL528" s="23">
        <f t="shared" ref="AL528" si="2589">+AP528-AP527</f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ref="AR528" si="2590">+AL528/AP527</f>
        <v>1.5981879174821719E-3</v>
      </c>
      <c r="AS528" s="25"/>
      <c r="AT528" s="25"/>
      <c r="AU528" s="24"/>
      <c r="AV528" s="298">
        <f t="shared" ref="AV528" si="2591">+AP528/H528</f>
        <v>0.81776269577430172</v>
      </c>
      <c r="AW528" s="298"/>
      <c r="AX528" s="24">
        <f t="shared" ref="AX528" si="2592">+AP528/BW528</f>
        <v>58649.78612716763</v>
      </c>
      <c r="AY528" s="308"/>
      <c r="AZ528" s="111"/>
      <c r="BA528" s="65">
        <f t="shared" ref="BA528" si="2593">+BC528-BC527</f>
        <v>1649005</v>
      </c>
      <c r="BB528" s="66"/>
      <c r="BC528" s="66">
        <v>565016470</v>
      </c>
      <c r="BD528" s="66"/>
      <c r="BE528" s="66">
        <f t="shared" ref="BE528" si="2594">+D528</f>
        <v>151108</v>
      </c>
      <c r="BF528" s="66"/>
      <c r="BG528" s="144">
        <f t="shared" ref="BG528" si="2595">+BE528/BA528</f>
        <v>9.163586526420478E-2</v>
      </c>
      <c r="BH528" s="66"/>
      <c r="BI528" s="170"/>
      <c r="BJ528" s="66"/>
      <c r="BK528" s="66">
        <f t="shared" ref="BK528" si="2596">SUM(BA522:BA528)</f>
        <v>11049147</v>
      </c>
      <c r="BL528" s="66"/>
      <c r="BM528" s="144">
        <f t="shared" ref="BM528" si="2597">+Q528/BK528</f>
        <v>7.3685416620848654E-2</v>
      </c>
      <c r="BN528" s="65">
        <f t="shared" ref="BN528" si="2598">+BC528/BW528</f>
        <v>1088663.7186897881</v>
      </c>
      <c r="BO528" s="66"/>
      <c r="BP528" s="66">
        <f t="shared" ref="BP528" si="2599">+BP527+BE528</f>
        <v>36315604</v>
      </c>
      <c r="BQ528" s="66"/>
      <c r="BR528" s="435">
        <f t="shared" ref="BR528" si="2600">+BP528/BC528</f>
        <v>6.427353170784561E-2</v>
      </c>
      <c r="BS528" s="66"/>
      <c r="BT528" s="75"/>
      <c r="BU528" s="170"/>
      <c r="BV528" s="1"/>
      <c r="BW528" s="61">
        <f t="shared" si="1175"/>
        <v>519</v>
      </c>
    </row>
    <row r="529" spans="2:75" x14ac:dyDescent="0.3">
      <c r="B529" s="158">
        <f t="shared" si="2350"/>
        <v>44429</v>
      </c>
      <c r="C529" s="61"/>
      <c r="D529" s="17">
        <v>145083</v>
      </c>
      <c r="E529" s="16"/>
      <c r="F529" s="16"/>
      <c r="G529" s="16"/>
      <c r="H529" s="16">
        <f t="shared" ref="H529" si="2601">+H528+D529</f>
        <v>37367665</v>
      </c>
      <c r="I529" s="16"/>
      <c r="J529" s="436">
        <f t="shared" ref="J529" si="2602">+D529/H528</f>
        <v>3.8977145647768334E-3</v>
      </c>
      <c r="K529" s="16"/>
      <c r="L529" s="16"/>
      <c r="M529" s="16"/>
      <c r="N529" s="16">
        <f t="shared" ref="N529" si="2603">SUM(D523:D529)</f>
        <v>888109</v>
      </c>
      <c r="O529" s="16">
        <f t="shared" ref="O529" si="2604">+H529/BW529</f>
        <v>71860.894230769234</v>
      </c>
      <c r="P529" s="41"/>
      <c r="Q529" s="17">
        <f t="shared" ref="Q529" si="2605">SUM(D523:D529)</f>
        <v>888109</v>
      </c>
      <c r="R529" s="16"/>
      <c r="S529" s="60">
        <f t="shared" ref="S529" si="2606">+(Q529-Q522)/Q522</f>
        <v>0.19590828724669179</v>
      </c>
      <c r="T529" s="16"/>
      <c r="U529" s="41"/>
      <c r="V529" s="10">
        <f t="shared" si="349"/>
        <v>421</v>
      </c>
      <c r="W529" s="34">
        <v>783</v>
      </c>
      <c r="X529" s="33">
        <v>4256</v>
      </c>
      <c r="Y529" s="33"/>
      <c r="Z529" s="33">
        <f t="shared" ref="Z529" si="2607">SUM(W524:W529)</f>
        <v>5189</v>
      </c>
      <c r="AA529" s="33">
        <f t="shared" ref="AA529" si="2608">+AA528+W529</f>
        <v>624670</v>
      </c>
      <c r="AB529" s="33"/>
      <c r="AC529" s="46">
        <f t="shared" ref="AC529" si="2609">+AA529/H529</f>
        <v>1.6716859348851473E-2</v>
      </c>
      <c r="AD529" s="33"/>
      <c r="AE529" s="33">
        <f t="shared" ref="AE529" si="2610">+AA529/BW529</f>
        <v>1201.2884615384614</v>
      </c>
      <c r="AF529" s="50"/>
      <c r="AG529" s="33">
        <f t="shared" ref="AG529" si="2611">SUM(W523:W529)</f>
        <v>5311</v>
      </c>
      <c r="AH529" s="33">
        <f t="shared" ref="AH529" si="2612">SUM(D500:D972)</f>
        <v>1121411882.060914</v>
      </c>
      <c r="AI529" s="213">
        <f t="shared" ref="AI529" si="2613">+(AG529-AG522)/AG522</f>
        <v>0.55610899501904487</v>
      </c>
      <c r="AJ529" s="50"/>
      <c r="AK529" s="111"/>
      <c r="AL529" s="23">
        <f t="shared" ref="AL529" si="2614">+AP529-AP528</f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ref="AR529" si="2615">+AL529/AP528</f>
        <v>1.1586032094954804E-3</v>
      </c>
      <c r="AS529" s="25"/>
      <c r="AT529" s="25"/>
      <c r="AU529" s="24"/>
      <c r="AV529" s="298">
        <f t="shared" ref="AV529" si="2616">+AP529/H529</f>
        <v>0.81553144944967793</v>
      </c>
      <c r="AW529" s="298"/>
      <c r="AX529" s="24">
        <f t="shared" ref="AX529" si="2617">+AP529/BW529</f>
        <v>58604.81923076923</v>
      </c>
      <c r="AY529" s="308"/>
      <c r="AZ529" s="111"/>
      <c r="BA529" s="65">
        <f t="shared" ref="BA529" si="2618">+BC529-BC528</f>
        <v>1071283</v>
      </c>
      <c r="BB529" s="66"/>
      <c r="BC529" s="66">
        <v>566087753</v>
      </c>
      <c r="BD529" s="66"/>
      <c r="BE529" s="66">
        <f t="shared" ref="BE529" si="2619">+D529</f>
        <v>145083</v>
      </c>
      <c r="BF529" s="66"/>
      <c r="BG529" s="144">
        <f t="shared" ref="BG529" si="2620">+BE529/BA529</f>
        <v>0.13542920031401601</v>
      </c>
      <c r="BH529" s="66"/>
      <c r="BI529" s="170"/>
      <c r="BJ529" s="66"/>
      <c r="BK529" s="66">
        <f t="shared" ref="BK529" si="2621">SUM(BA523:BA529)</f>
        <v>11344752</v>
      </c>
      <c r="BL529" s="66"/>
      <c r="BM529" s="144">
        <f t="shared" ref="BM529" si="2622">+Q529/BK529</f>
        <v>7.8283685707717543E-2</v>
      </c>
      <c r="BN529" s="65">
        <f t="shared" ref="BN529" si="2623">+BC529/BW529</f>
        <v>1088630.2942307692</v>
      </c>
      <c r="BO529" s="66"/>
      <c r="BP529" s="66">
        <f t="shared" ref="BP529" si="2624">+BP528+BE529</f>
        <v>36460687</v>
      </c>
      <c r="BQ529" s="66"/>
      <c r="BR529" s="435">
        <f t="shared" ref="BR529" si="2625">+BP529/BC529</f>
        <v>6.4408189025067994E-2</v>
      </c>
      <c r="BS529" s="66"/>
      <c r="BT529" s="75"/>
      <c r="BU529" s="170"/>
      <c r="BV529" s="1"/>
      <c r="BW529" s="61">
        <f t="shared" si="1175"/>
        <v>520</v>
      </c>
    </row>
    <row r="530" spans="2:75" x14ac:dyDescent="0.3">
      <c r="B530" s="347">
        <f t="shared" si="2350"/>
        <v>44430</v>
      </c>
      <c r="C530" s="61"/>
      <c r="D530" s="17">
        <v>99183</v>
      </c>
      <c r="E530" s="16"/>
      <c r="F530" s="16"/>
      <c r="G530" s="16"/>
      <c r="H530" s="16">
        <f t="shared" ref="H530" si="2626">+H529+D530</f>
        <v>37466848</v>
      </c>
      <c r="I530" s="16"/>
      <c r="J530" s="436">
        <f t="shared" ref="J530" si="2627">+D530/H529</f>
        <v>2.6542466595116392E-3</v>
      </c>
      <c r="K530" s="16"/>
      <c r="L530" s="16"/>
      <c r="M530" s="16"/>
      <c r="N530" s="16">
        <f t="shared" ref="N530" si="2628">SUM(D524:D530)</f>
        <v>956409</v>
      </c>
      <c r="O530" s="16">
        <f t="shared" ref="O530" si="2629">+H530/BW530</f>
        <v>71913.335892514398</v>
      </c>
      <c r="P530" s="41"/>
      <c r="Q530" s="17">
        <f t="shared" ref="Q530" si="2630">SUM(D524:D530)</f>
        <v>956409</v>
      </c>
      <c r="R530" s="16"/>
      <c r="S530" s="60">
        <f t="shared" ref="S530" si="2631">+(Q530-Q523)/Q523</f>
        <v>0.27671682356270588</v>
      </c>
      <c r="T530" s="16"/>
      <c r="U530" s="41"/>
      <c r="V530" s="10">
        <f t="shared" si="349"/>
        <v>422</v>
      </c>
      <c r="W530" s="34">
        <v>387</v>
      </c>
      <c r="X530" s="33">
        <v>4256</v>
      </c>
      <c r="Y530" s="33"/>
      <c r="Z530" s="33">
        <f t="shared" ref="Z530" si="2632">SUM(W525:W530)</f>
        <v>5268</v>
      </c>
      <c r="AA530" s="33">
        <f t="shared" ref="AA530" si="2633">+AA529+W530</f>
        <v>625057</v>
      </c>
      <c r="AB530" s="33"/>
      <c r="AC530" s="46">
        <f t="shared" ref="AC530" si="2634">+AA530/H530</f>
        <v>1.6682935271202959E-2</v>
      </c>
      <c r="AD530" s="33"/>
      <c r="AE530" s="33">
        <f t="shared" ref="AE530" si="2635">+AA530/BW530</f>
        <v>1199.725527831094</v>
      </c>
      <c r="AF530" s="50"/>
      <c r="AG530" s="33">
        <f t="shared" ref="AG530" si="2636">SUM(W524:W530)</f>
        <v>5576</v>
      </c>
      <c r="AH530" s="33">
        <f t="shared" ref="AH530" si="2637">SUM(D501:D973)</f>
        <v>1121344397.060914</v>
      </c>
      <c r="AI530" s="213">
        <f t="shared" ref="AI530" si="2638">+(AG530-AG523)/AG523</f>
        <v>0.63711098062243099</v>
      </c>
      <c r="AJ530" s="50"/>
      <c r="AK530" s="111"/>
      <c r="AL530" s="23">
        <f t="shared" ref="AL530" si="2639">+AP530-AP529</f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ref="AR530" si="2640">+AL530/AP529</f>
        <v>6.2491579026744521E-4</v>
      </c>
      <c r="AS530" s="25"/>
      <c r="AT530" s="25"/>
      <c r="AU530" s="24"/>
      <c r="AV530" s="298">
        <f t="shared" ref="AV530" si="2641">+AP530/H530</f>
        <v>0.81388084740942179</v>
      </c>
      <c r="AW530" s="298"/>
      <c r="AX530" s="24">
        <f t="shared" ref="AX530" si="2642">+AP530/BW530</f>
        <v>58528.886756238004</v>
      </c>
      <c r="AY530" s="308"/>
      <c r="AZ530" s="111"/>
      <c r="BA530" s="65">
        <f t="shared" ref="BA530" si="2643">+BC530-BC529</f>
        <v>1182942</v>
      </c>
      <c r="BB530" s="66"/>
      <c r="BC530" s="66">
        <v>567270695</v>
      </c>
      <c r="BD530" s="66"/>
      <c r="BE530" s="66">
        <f t="shared" ref="BE530" si="2644">+D530</f>
        <v>99183</v>
      </c>
      <c r="BF530" s="66"/>
      <c r="BG530" s="144">
        <f t="shared" ref="BG530" si="2645">+BE530/BA530</f>
        <v>8.384434739826635E-2</v>
      </c>
      <c r="BH530" s="66"/>
      <c r="BI530" s="170"/>
      <c r="BJ530" s="66"/>
      <c r="BK530" s="66">
        <f t="shared" ref="BK530" si="2646">SUM(BA524:BA530)</f>
        <v>11837220</v>
      </c>
      <c r="BL530" s="66"/>
      <c r="BM530" s="144">
        <f t="shared" ref="BM530" si="2647">+Q530/BK530</f>
        <v>8.0796758022576243E-2</v>
      </c>
      <c r="BN530" s="65">
        <f t="shared" ref="BN530" si="2648">+BC530/BW530</f>
        <v>1088811.3147792707</v>
      </c>
      <c r="BO530" s="66"/>
      <c r="BP530" s="66">
        <f t="shared" ref="BP530" si="2649">+BP529+BE530</f>
        <v>36559870</v>
      </c>
      <c r="BQ530" s="66"/>
      <c r="BR530" s="435">
        <f t="shared" ref="BR530" si="2650">+BP530/BC530</f>
        <v>6.4448719671655164E-2</v>
      </c>
      <c r="BS530" s="66"/>
      <c r="BT530" s="75"/>
      <c r="BU530" s="170"/>
      <c r="BV530" s="1"/>
      <c r="BW530" s="61">
        <f t="shared" si="1175"/>
        <v>521</v>
      </c>
    </row>
    <row r="531" spans="2:75" x14ac:dyDescent="0.3">
      <c r="B531" s="158">
        <f t="shared" si="2350"/>
        <v>44431</v>
      </c>
      <c r="C531" s="61"/>
      <c r="D531" s="17">
        <v>111134</v>
      </c>
      <c r="E531" s="16"/>
      <c r="F531" s="16"/>
      <c r="G531" s="16"/>
      <c r="H531" s="16">
        <f t="shared" ref="H531" si="2651">+H530+D531</f>
        <v>37577982</v>
      </c>
      <c r="I531" s="16"/>
      <c r="J531" s="436">
        <f t="shared" ref="J531" si="2652">+D531/H530</f>
        <v>2.9661956084483009E-3</v>
      </c>
      <c r="K531" s="16"/>
      <c r="L531" s="16"/>
      <c r="M531" s="16"/>
      <c r="N531" s="16">
        <f t="shared" ref="N531" si="2653">SUM(D525:D531)</f>
        <v>963846</v>
      </c>
      <c r="O531" s="16">
        <f t="shared" ref="O531" si="2654">+H531/BW531</f>
        <v>71988.471264367821</v>
      </c>
      <c r="P531" s="41"/>
      <c r="Q531" s="17">
        <f t="shared" ref="Q531" si="2655">SUM(D525:D531)</f>
        <v>963846</v>
      </c>
      <c r="R531" s="16"/>
      <c r="S531" s="60">
        <f t="shared" ref="S531" si="2656">+(Q531-Q524)/Q524</f>
        <v>0.28437792329279699</v>
      </c>
      <c r="T531" s="16"/>
      <c r="U531" s="41"/>
      <c r="V531" s="10">
        <f t="shared" si="349"/>
        <v>423</v>
      </c>
      <c r="W531" s="34">
        <v>406</v>
      </c>
      <c r="X531" s="33">
        <v>4256</v>
      </c>
      <c r="Y531" s="33"/>
      <c r="Z531" s="33">
        <f t="shared" ref="Z531" si="2657">SUM(W526:W531)</f>
        <v>4729</v>
      </c>
      <c r="AA531" s="33">
        <f t="shared" ref="AA531" si="2658">+AA530+W531</f>
        <v>625463</v>
      </c>
      <c r="AB531" s="33"/>
      <c r="AC531" s="46">
        <f t="shared" ref="AC531" si="2659">+AA531/H531</f>
        <v>1.6644400968631047E-2</v>
      </c>
      <c r="AD531" s="33"/>
      <c r="AE531" s="33">
        <f t="shared" ref="AE531" si="2660">+AA531/BW531</f>
        <v>1198.2049808429119</v>
      </c>
      <c r="AF531" s="50"/>
      <c r="AG531" s="33">
        <f t="shared" ref="AG531" si="2661">SUM(W525:W531)</f>
        <v>5674</v>
      </c>
      <c r="AH531" s="33">
        <f t="shared" ref="AH531" si="2662">SUM(D502:D974)</f>
        <v>1121307618.060914</v>
      </c>
      <c r="AI531" s="213">
        <f t="shared" ref="AI531" si="2663">+(AG531-AG524)/AG524</f>
        <v>0.67473435655253833</v>
      </c>
      <c r="AJ531" s="50"/>
      <c r="AK531" s="111"/>
      <c r="AL531" s="23">
        <f t="shared" ref="AL531" si="2664">+AP531-AP530</f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61">
        <f t="shared" ref="AR531" si="2665">+AL531/AP530</f>
        <v>2.5145973492755025E-3</v>
      </c>
      <c r="AS531" s="25"/>
      <c r="AT531" s="25"/>
      <c r="AU531" s="24"/>
      <c r="AV531" s="298">
        <f t="shared" ref="AV531" si="2666">+AP531/H531</f>
        <v>0.81351438722813796</v>
      </c>
      <c r="AW531" s="298"/>
      <c r="AX531" s="24">
        <f t="shared" ref="AX531" si="2667">+AP531/BW531</f>
        <v>58563.657088122607</v>
      </c>
      <c r="AY531" s="308"/>
      <c r="AZ531" s="111"/>
      <c r="BA531" s="65">
        <f t="shared" ref="BA531" si="2668">+BC531-BC530</f>
        <v>1795660</v>
      </c>
      <c r="BB531" s="66"/>
      <c r="BC531" s="66">
        <v>569066355</v>
      </c>
      <c r="BD531" s="66"/>
      <c r="BE531" s="66">
        <f t="shared" ref="BE531" si="2669">+D531</f>
        <v>111134</v>
      </c>
      <c r="BF531" s="66"/>
      <c r="BG531" s="144">
        <f t="shared" ref="BG531" si="2670">+BE531/BA531</f>
        <v>6.1890335586915118E-2</v>
      </c>
      <c r="BH531" s="66"/>
      <c r="BI531" s="170"/>
      <c r="BJ531" s="66"/>
      <c r="BK531" s="66">
        <f t="shared" ref="BK531" si="2671">SUM(BA525:BA531)</f>
        <v>10921527</v>
      </c>
      <c r="BL531" s="66"/>
      <c r="BM531" s="144">
        <f t="shared" ref="BM531" si="2672">+Q531/BK531</f>
        <v>8.825194498901115E-2</v>
      </c>
      <c r="BN531" s="65">
        <f t="shared" ref="BN531" si="2673">+BC531/BW531</f>
        <v>1090165.4310344828</v>
      </c>
      <c r="BO531" s="66"/>
      <c r="BP531" s="66">
        <f t="shared" ref="BP531" si="2674">+BP530+BE531</f>
        <v>36671004</v>
      </c>
      <c r="BQ531" s="66"/>
      <c r="BR531" s="435">
        <f t="shared" ref="BR531" si="2675">+BP531/BC531</f>
        <v>6.4440646820527636E-2</v>
      </c>
      <c r="BS531" s="66"/>
      <c r="BT531" s="75"/>
      <c r="BU531" s="170"/>
      <c r="BV531" s="1"/>
      <c r="BW531" s="61">
        <f t="shared" si="1175"/>
        <v>522</v>
      </c>
    </row>
    <row r="532" spans="2:75" x14ac:dyDescent="0.3">
      <c r="B532" s="158">
        <f t="shared" si="2350"/>
        <v>44432</v>
      </c>
      <c r="C532" s="61"/>
      <c r="D532" s="17">
        <v>147619</v>
      </c>
      <c r="E532" s="16"/>
      <c r="F532" s="16"/>
      <c r="G532" s="16"/>
      <c r="H532" s="16">
        <f t="shared" ref="H532" si="2676">+H531+D532</f>
        <v>37725601</v>
      </c>
      <c r="I532" s="16"/>
      <c r="J532" s="436">
        <f t="shared" ref="J532" si="2677">+D532/H531</f>
        <v>3.9283376100398368E-3</v>
      </c>
      <c r="K532" s="16"/>
      <c r="L532" s="16"/>
      <c r="M532" s="16"/>
      <c r="N532" s="16">
        <f t="shared" ref="N532" si="2678">SUM(D526:D532)</f>
        <v>967171</v>
      </c>
      <c r="O532" s="16">
        <f t="shared" ref="O532" si="2679">+H532/BW532</f>
        <v>72133.080305927346</v>
      </c>
      <c r="P532" s="41"/>
      <c r="Q532" s="17">
        <f t="shared" ref="Q532" si="2680">SUM(D526:D532)</f>
        <v>967171</v>
      </c>
      <c r="R532" s="16"/>
      <c r="S532" s="60">
        <f t="shared" ref="S532" si="2681">+(Q532-Q525)/Q525</f>
        <v>0.21890083909068683</v>
      </c>
      <c r="T532" s="16"/>
      <c r="U532" s="41"/>
      <c r="V532" s="10">
        <f t="shared" si="349"/>
        <v>424</v>
      </c>
      <c r="W532" s="34">
        <v>1134</v>
      </c>
      <c r="X532" s="33">
        <v>4256</v>
      </c>
      <c r="Y532" s="33"/>
      <c r="Z532" s="33">
        <f t="shared" ref="Z532" si="2682">SUM(W527:W532)</f>
        <v>4736</v>
      </c>
      <c r="AA532" s="33">
        <f t="shared" ref="AA532" si="2683">+AA531+W532</f>
        <v>626597</v>
      </c>
      <c r="AB532" s="33"/>
      <c r="AC532" s="46">
        <f t="shared" ref="AC532" si="2684">+AA532/H532</f>
        <v>1.6609331154194204E-2</v>
      </c>
      <c r="AD532" s="33"/>
      <c r="AE532" s="33">
        <f t="shared" ref="AE532" si="2685">+AA532/BW532</f>
        <v>1198.0822179732313</v>
      </c>
      <c r="AF532" s="50"/>
      <c r="AG532" s="33">
        <f t="shared" ref="AG532" si="2686">SUM(W526:W532)</f>
        <v>5863</v>
      </c>
      <c r="AH532" s="33">
        <f t="shared" ref="AH532" si="2687">SUM(D503:D975)</f>
        <v>1121293800.060914</v>
      </c>
      <c r="AI532" s="213">
        <f t="shared" ref="AI532" si="2688">+(AG532-AG525)/AG525</f>
        <v>0.59494015233949948</v>
      </c>
      <c r="AJ532" s="50"/>
      <c r="AK532" s="111"/>
      <c r="AL532" s="23">
        <f t="shared" ref="AL532" si="2689">+AP532-AP531</f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61">
        <f t="shared" ref="AR532" si="2690">+AL532/AP531</f>
        <v>1.5837303672144557E-3</v>
      </c>
      <c r="AS532" s="25"/>
      <c r="AT532" s="25"/>
      <c r="AU532" s="24"/>
      <c r="AV532" s="298">
        <f t="shared" ref="AV532" si="2691">+AP532/H532</f>
        <v>0.81161447898470851</v>
      </c>
      <c r="AW532" s="298"/>
      <c r="AX532" s="24">
        <f t="shared" ref="AX532" si="2692">+AP532/BW532</f>
        <v>58544.252390057358</v>
      </c>
      <c r="AY532" s="308"/>
      <c r="AZ532" s="111"/>
      <c r="BA532" s="65">
        <f t="shared" ref="BA532" si="2693">+BC532-BC531</f>
        <v>1447069</v>
      </c>
      <c r="BB532" s="66"/>
      <c r="BC532" s="66">
        <v>570513424</v>
      </c>
      <c r="BD532" s="66"/>
      <c r="BE532" s="66">
        <f t="shared" ref="BE532" si="2694">+D532</f>
        <v>147619</v>
      </c>
      <c r="BF532" s="66"/>
      <c r="BG532" s="144">
        <f t="shared" ref="BG532" si="2695">+BE532/BA532</f>
        <v>0.10201241267693524</v>
      </c>
      <c r="BH532" s="66"/>
      <c r="BI532" s="170"/>
      <c r="BJ532" s="66"/>
      <c r="BK532" s="66">
        <f t="shared" ref="BK532" si="2696">SUM(BA526:BA532)</f>
        <v>10067305</v>
      </c>
      <c r="BL532" s="66"/>
      <c r="BM532" s="144">
        <f t="shared" ref="BM532" si="2697">+Q532/BK532</f>
        <v>9.6070497516465431E-2</v>
      </c>
      <c r="BN532" s="65">
        <f t="shared" ref="BN532" si="2698">+BC532/BW532</f>
        <v>1090847.8470363289</v>
      </c>
      <c r="BO532" s="66"/>
      <c r="BP532" s="66">
        <f t="shared" ref="BP532" si="2699">+BP531+BE532</f>
        <v>36818623</v>
      </c>
      <c r="BQ532" s="66"/>
      <c r="BR532" s="435">
        <f t="shared" ref="BR532" si="2700">+BP532/BC532</f>
        <v>6.4535945082336926E-2</v>
      </c>
      <c r="BS532" s="66"/>
      <c r="BT532" s="75"/>
      <c r="BU532" s="170"/>
      <c r="BV532" s="1"/>
      <c r="BW532" s="61">
        <f t="shared" si="1175"/>
        <v>523</v>
      </c>
    </row>
    <row r="533" spans="2:75" x14ac:dyDescent="0.3">
      <c r="B533" s="158">
        <f t="shared" si="2350"/>
        <v>44433</v>
      </c>
      <c r="C533" s="61"/>
      <c r="D533" s="17">
        <v>171737</v>
      </c>
      <c r="E533" s="16"/>
      <c r="F533" s="16"/>
      <c r="G533" s="16"/>
      <c r="H533" s="16">
        <f t="shared" ref="H533" si="2701">+H532+D533</f>
        <v>37897338</v>
      </c>
      <c r="I533" s="16"/>
      <c r="J533" s="436">
        <f t="shared" ref="J533" si="2702">+D533/H532</f>
        <v>4.5522667750210258E-3</v>
      </c>
      <c r="K533" s="16"/>
      <c r="L533" s="16"/>
      <c r="M533" s="16"/>
      <c r="N533" s="16">
        <f t="shared" ref="N533" si="2703">SUM(D527:D533)</f>
        <v>980781</v>
      </c>
      <c r="O533" s="16">
        <f t="shared" ref="O533" si="2704">+H533/BW533</f>
        <v>72323.164122137401</v>
      </c>
      <c r="P533" s="41"/>
      <c r="Q533" s="17">
        <f t="shared" ref="Q533" si="2705">SUM(D527:D533)</f>
        <v>980781</v>
      </c>
      <c r="R533" s="16"/>
      <c r="S533" s="60">
        <f t="shared" ref="S533" si="2706">+(Q533-Q526)/Q526</f>
        <v>0.21538718911483698</v>
      </c>
      <c r="T533" s="16"/>
      <c r="U533" s="41"/>
      <c r="V533" s="10">
        <f t="shared" si="349"/>
        <v>425</v>
      </c>
      <c r="W533" s="34">
        <v>1287</v>
      </c>
      <c r="X533" s="33">
        <v>4256</v>
      </c>
      <c r="Y533" s="33"/>
      <c r="Z533" s="33">
        <f t="shared" ref="Z533" si="2707">SUM(W528:W533)</f>
        <v>5056</v>
      </c>
      <c r="AA533" s="33">
        <f t="shared" ref="AA533" si="2708">+AA532+W533</f>
        <v>627884</v>
      </c>
      <c r="AB533" s="33"/>
      <c r="AC533" s="46">
        <f t="shared" ref="AC533" si="2709">+AA533/H533</f>
        <v>1.6568023854340377E-2</v>
      </c>
      <c r="AD533" s="33"/>
      <c r="AE533" s="33">
        <f t="shared" ref="AE533" si="2710">+AA533/BW533</f>
        <v>1198.2519083969466</v>
      </c>
      <c r="AF533" s="50"/>
      <c r="AG533" s="33">
        <f t="shared" ref="AG533" si="2711">SUM(W527:W533)</f>
        <v>6023</v>
      </c>
      <c r="AH533" s="33">
        <f t="shared" ref="AH533" si="2712">SUM(D504:D976)</f>
        <v>1121257984.060914</v>
      </c>
      <c r="AI533" s="213">
        <f t="shared" ref="AI533" si="2713">+(AG533-AG526)/AG526</f>
        <v>0.43781332060157557</v>
      </c>
      <c r="AJ533" s="50"/>
      <c r="AK533" s="111"/>
      <c r="AL533" s="23">
        <f t="shared" ref="AL533" si="2714">+AP533-AP532</f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61">
        <f t="shared" ref="AR533" si="2715">+AL533/AP532</f>
        <v>1.9478001703798508E-3</v>
      </c>
      <c r="AS533" s="25"/>
      <c r="AT533" s="25"/>
      <c r="AU533" s="24"/>
      <c r="AV533" s="298">
        <f t="shared" ref="AV533" si="2716">+AP533/H533</f>
        <v>0.80951023525715715</v>
      </c>
      <c r="AW533" s="298"/>
      <c r="AX533" s="24">
        <f t="shared" ref="AX533" si="2717">+AP533/BW533</f>
        <v>58546.341603053435</v>
      </c>
      <c r="AY533" s="308"/>
      <c r="AZ533" s="111"/>
      <c r="BA533" s="65">
        <f t="shared" ref="BA533" si="2718">+BC533-BC532</f>
        <v>3138100</v>
      </c>
      <c r="BB533" s="66"/>
      <c r="BC533" s="66">
        <v>573651524</v>
      </c>
      <c r="BD533" s="66"/>
      <c r="BE533" s="66">
        <f t="shared" ref="BE533" si="2719">+D533</f>
        <v>171737</v>
      </c>
      <c r="BF533" s="66"/>
      <c r="BG533" s="144">
        <f t="shared" ref="BG533" si="2720">+BE533/BA533</f>
        <v>5.4726426818775695E-2</v>
      </c>
      <c r="BH533" s="66"/>
      <c r="BI533" s="170"/>
      <c r="BJ533" s="66"/>
      <c r="BK533" s="66">
        <f t="shared" ref="BK533" si="2721">SUM(BA527:BA533)</f>
        <v>11823544</v>
      </c>
      <c r="BL533" s="66"/>
      <c r="BM533" s="144">
        <f t="shared" ref="BM533" si="2722">+Q533/BK533</f>
        <v>8.2951524517521982E-2</v>
      </c>
      <c r="BN533" s="65">
        <f t="shared" ref="BN533" si="2723">+BC533/BW533</f>
        <v>1094754.8167938932</v>
      </c>
      <c r="BO533" s="66"/>
      <c r="BP533" s="66">
        <f t="shared" ref="BP533" si="2724">+BP532+BE533</f>
        <v>36990360</v>
      </c>
      <c r="BQ533" s="66"/>
      <c r="BR533" s="435">
        <f t="shared" ref="BR533" si="2725">+BP533/BC533</f>
        <v>6.448228315000519E-2</v>
      </c>
      <c r="BS533" s="66"/>
      <c r="BT533" s="75"/>
      <c r="BU533" s="170"/>
      <c r="BV533" s="1"/>
      <c r="BW533" s="61">
        <f t="shared" si="1175"/>
        <v>524</v>
      </c>
    </row>
    <row r="534" spans="2:75" x14ac:dyDescent="0.3">
      <c r="B534" s="158">
        <f t="shared" si="2350"/>
        <v>44434</v>
      </c>
      <c r="C534" s="61"/>
      <c r="D534" s="17">
        <v>177206</v>
      </c>
      <c r="E534" s="16"/>
      <c r="F534" s="16"/>
      <c r="G534" s="16"/>
      <c r="H534" s="16">
        <f t="shared" ref="H534" si="2726">+H533+D534</f>
        <v>38074544</v>
      </c>
      <c r="I534" s="16"/>
      <c r="J534" s="436">
        <f t="shared" ref="J534" si="2727">+D534/H533</f>
        <v>4.6759484795475606E-3</v>
      </c>
      <c r="K534" s="16"/>
      <c r="L534" s="16"/>
      <c r="M534" s="16"/>
      <c r="N534" s="16">
        <f t="shared" ref="N534" si="2728">SUM(D528:D534)</f>
        <v>1003070</v>
      </c>
      <c r="O534" s="16">
        <f t="shared" ref="O534" si="2729">+H534/BW534</f>
        <v>72522.940952380959</v>
      </c>
      <c r="P534" s="41"/>
      <c r="Q534" s="17">
        <f t="shared" ref="Q534" si="2730">SUM(D528:D534)</f>
        <v>1003070</v>
      </c>
      <c r="R534" s="16"/>
      <c r="S534" s="60">
        <f t="shared" ref="S534" si="2731">+(Q534-Q527)/Q527</f>
        <v>0.22572249037697806</v>
      </c>
      <c r="T534" s="16"/>
      <c r="U534" s="41"/>
      <c r="V534" s="10">
        <f t="shared" si="349"/>
        <v>426</v>
      </c>
      <c r="W534" s="34">
        <v>1338</v>
      </c>
      <c r="X534" s="33">
        <v>4256</v>
      </c>
      <c r="Y534" s="33"/>
      <c r="Z534" s="33">
        <f t="shared" ref="Z534" si="2732">SUM(W529:W534)</f>
        <v>5335</v>
      </c>
      <c r="AA534" s="33">
        <f t="shared" ref="AA534" si="2733">+AA533+W534</f>
        <v>629222</v>
      </c>
      <c r="AB534" s="33"/>
      <c r="AC534" s="46">
        <f t="shared" ref="AC534" si="2734">+AA534/H534</f>
        <v>1.6526054783479481E-2</v>
      </c>
      <c r="AD534" s="33"/>
      <c r="AE534" s="33">
        <f t="shared" ref="AE534" si="2735">+AA534/BW534</f>
        <v>1198.5180952380952</v>
      </c>
      <c r="AF534" s="50"/>
      <c r="AG534" s="33">
        <f t="shared" ref="AG534" si="2736">SUM(W528:W534)</f>
        <v>6394</v>
      </c>
      <c r="AH534" s="33">
        <f t="shared" ref="AH534" si="2737">SUM(D505:D977)</f>
        <v>1121196403.060914</v>
      </c>
      <c r="AI534" s="213">
        <f t="shared" ref="AI534" si="2738">+(AG534-AG527)/AG527</f>
        <v>0.42215302491103202</v>
      </c>
      <c r="AJ534" s="50"/>
      <c r="AK534" s="111" t="s">
        <v>26</v>
      </c>
      <c r="AL534" s="23">
        <f t="shared" ref="AL534" si="2739">+AP534-AP533</f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61">
        <f t="shared" ref="AR534" si="2740">+AL534/AP533</f>
        <v>7.0789489750779078E-4</v>
      </c>
      <c r="AS534" s="25"/>
      <c r="AT534" s="25"/>
      <c r="AU534" s="24"/>
      <c r="AV534" s="298">
        <f t="shared" ref="AV534" si="2741">+AP534/H534</f>
        <v>0.80631300535076667</v>
      </c>
      <c r="AW534" s="298"/>
      <c r="AX534" s="24">
        <f t="shared" ref="AX534" si="2742">+AP534/BW534</f>
        <v>58476.190476190473</v>
      </c>
      <c r="AY534" s="308"/>
      <c r="AZ534" s="111" t="s">
        <v>26</v>
      </c>
      <c r="BA534" s="65">
        <f t="shared" ref="BA534" si="2743">+BC534-BC533</f>
        <v>2348476</v>
      </c>
      <c r="BB534" s="66"/>
      <c r="BC534" s="66">
        <v>576000000</v>
      </c>
      <c r="BD534" s="66"/>
      <c r="BE534" s="66">
        <f t="shared" ref="BE534" si="2744">+D534</f>
        <v>177206</v>
      </c>
      <c r="BF534" s="66"/>
      <c r="BG534" s="144">
        <f t="shared" ref="BG534" si="2745">+BE534/BA534</f>
        <v>7.5455742362280906E-2</v>
      </c>
      <c r="BH534" s="66"/>
      <c r="BI534" s="170"/>
      <c r="BJ534" s="66"/>
      <c r="BK534" s="66">
        <f t="shared" ref="BK534" si="2746">SUM(BA528:BA534)</f>
        <v>12632535</v>
      </c>
      <c r="BL534" s="66"/>
      <c r="BM534" s="144">
        <f t="shared" ref="BM534" si="2747">+Q534/BK534</f>
        <v>7.9403698465905698E-2</v>
      </c>
      <c r="BN534" s="65">
        <f t="shared" ref="BN534" si="2748">+BC534/BW534</f>
        <v>1097142.857142857</v>
      </c>
      <c r="BO534" s="66"/>
      <c r="BP534" s="66">
        <f t="shared" ref="BP534" si="2749">+BP533+BE534</f>
        <v>37167566</v>
      </c>
      <c r="BQ534" s="66"/>
      <c r="BR534" s="435">
        <f t="shared" ref="BR534" si="2750">+BP534/BC534</f>
        <v>6.4527024305555555E-2</v>
      </c>
      <c r="BS534" s="66"/>
      <c r="BT534" s="75"/>
      <c r="BU534" s="170"/>
      <c r="BV534" s="1"/>
      <c r="BW534" s="61">
        <f t="shared" si="1175"/>
        <v>525</v>
      </c>
    </row>
    <row r="535" spans="2:75" x14ac:dyDescent="0.3">
      <c r="B535" s="158">
        <f t="shared" si="2350"/>
        <v>44435</v>
      </c>
      <c r="C535" s="61"/>
      <c r="D535" s="17">
        <v>190370</v>
      </c>
      <c r="E535" s="16"/>
      <c r="F535" s="16"/>
      <c r="G535" s="16"/>
      <c r="H535" s="16">
        <f t="shared" ref="H535" si="2751">+H534+D535</f>
        <v>38264914</v>
      </c>
      <c r="I535" s="16"/>
      <c r="J535" s="436">
        <f t="shared" ref="J535" si="2752">+D535/H534</f>
        <v>4.9999285611930112E-3</v>
      </c>
      <c r="K535" s="16"/>
      <c r="L535" s="16"/>
      <c r="M535" s="16"/>
      <c r="N535" s="16">
        <f t="shared" ref="N535" si="2753">SUM(D529:D535)</f>
        <v>1042332</v>
      </c>
      <c r="O535" s="16">
        <f t="shared" ref="O535" si="2754">+H535/BW535</f>
        <v>72746.984790874529</v>
      </c>
      <c r="P535" s="41"/>
      <c r="Q535" s="17">
        <f t="shared" ref="Q535" si="2755">SUM(D529:D535)</f>
        <v>1042332</v>
      </c>
      <c r="R535" s="16"/>
      <c r="S535" s="60">
        <f t="shared" ref="S535" si="2756">+(Q535-Q528)/Q528</f>
        <v>0.28025292294767251</v>
      </c>
      <c r="T535" s="16"/>
      <c r="U535" s="41"/>
      <c r="V535" s="10">
        <f t="shared" si="349"/>
        <v>427</v>
      </c>
      <c r="W535" s="34">
        <v>1304</v>
      </c>
      <c r="X535" s="33">
        <v>4256</v>
      </c>
      <c r="Y535" s="33"/>
      <c r="Z535" s="33">
        <f t="shared" ref="Z535" si="2757">SUM(W530:W535)</f>
        <v>5856</v>
      </c>
      <c r="AA535" s="33">
        <f t="shared" ref="AA535" si="2758">+AA534+W535</f>
        <v>630526</v>
      </c>
      <c r="AB535" s="33"/>
      <c r="AC535" s="46">
        <f t="shared" ref="AC535" si="2759">+AA535/H535</f>
        <v>1.6477914990217932E-2</v>
      </c>
      <c r="AD535" s="33"/>
      <c r="AE535" s="33">
        <f t="shared" ref="AE535" si="2760">+AA535/BW535</f>
        <v>1198.7186311787073</v>
      </c>
      <c r="AF535" s="50"/>
      <c r="AG535" s="33">
        <f t="shared" ref="AG535" si="2761">SUM(W529:W535)</f>
        <v>6639</v>
      </c>
      <c r="AH535" s="33">
        <f t="shared" ref="AH535" si="2762">SUM(D506:D978)</f>
        <v>1121111869.060914</v>
      </c>
      <c r="AI535" s="213">
        <f t="shared" ref="AI535" si="2763">+(AG535-AG528)/AG528</f>
        <v>0.38717091516924362</v>
      </c>
      <c r="AJ535" s="50"/>
      <c r="AK535" s="111"/>
      <c r="AL535" s="23">
        <f t="shared" ref="AL535" si="2764">+AP535-AP534</f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61">
        <f t="shared" ref="AR535" si="2765">+AL535/AP534</f>
        <v>2.8132899022801305E-3</v>
      </c>
      <c r="AS535" s="25"/>
      <c r="AT535" s="25"/>
      <c r="AU535" s="24"/>
      <c r="AV535" s="298">
        <f t="shared" ref="AV535" si="2766">+AP535/H535</f>
        <v>0.80455866175473434</v>
      </c>
      <c r="AW535" s="298"/>
      <c r="AX535" s="24">
        <f t="shared" ref="AX535" si="2767">+AP535/BW535</f>
        <v>58529.216730038024</v>
      </c>
      <c r="AY535" s="308"/>
      <c r="AZ535" s="111"/>
      <c r="BA535" s="65">
        <f t="shared" ref="BA535" si="2768">+BC535-BC534</f>
        <v>1474238</v>
      </c>
      <c r="BB535" s="66"/>
      <c r="BC535" s="66">
        <v>577474238</v>
      </c>
      <c r="BD535" s="66"/>
      <c r="BE535" s="66">
        <f t="shared" ref="BE535" si="2769">+D535</f>
        <v>190370</v>
      </c>
      <c r="BF535" s="66"/>
      <c r="BG535" s="144">
        <f t="shared" ref="BG535" si="2770">+BE535/BA535</f>
        <v>0.12913111722801882</v>
      </c>
      <c r="BH535" s="66"/>
      <c r="BI535" s="170"/>
      <c r="BJ535" s="66"/>
      <c r="BK535" s="66">
        <f t="shared" ref="BK535" si="2771">SUM(BA529:BA535)</f>
        <v>12457768</v>
      </c>
      <c r="BL535" s="66"/>
      <c r="BM535" s="144">
        <f t="shared" ref="BM535" si="2772">+Q535/BK535</f>
        <v>8.3669241552740428E-2</v>
      </c>
      <c r="BN535" s="65">
        <f t="shared" ref="BN535" si="2773">+BC535/BW535</f>
        <v>1097859.7680608365</v>
      </c>
      <c r="BO535" s="66"/>
      <c r="BP535" s="66">
        <f t="shared" ref="BP535" si="2774">+BP534+BE535</f>
        <v>37357936</v>
      </c>
      <c r="BQ535" s="66"/>
      <c r="BR535" s="435">
        <f t="shared" ref="BR535" si="2775">+BP535/BC535</f>
        <v>6.4691952543863951E-2</v>
      </c>
      <c r="BS535" s="66"/>
      <c r="BT535" s="75"/>
      <c r="BU535" s="170"/>
      <c r="BV535" s="1"/>
      <c r="BW535" s="61">
        <f t="shared" si="1175"/>
        <v>526</v>
      </c>
    </row>
    <row r="536" spans="2:75" x14ac:dyDescent="0.3">
      <c r="B536" s="158">
        <f t="shared" si="2350"/>
        <v>44436</v>
      </c>
      <c r="C536" s="61"/>
      <c r="D536" s="17">
        <v>72785</v>
      </c>
      <c r="E536" s="16"/>
      <c r="F536" s="16"/>
      <c r="G536" s="16"/>
      <c r="H536" s="16">
        <f t="shared" ref="H536" si="2776">+H535+D536</f>
        <v>38337699</v>
      </c>
      <c r="I536" s="16"/>
      <c r="J536" s="436">
        <f t="shared" ref="J536" si="2777">+D536/H535</f>
        <v>1.9021341587230538E-3</v>
      </c>
      <c r="K536" s="16"/>
      <c r="L536" s="16"/>
      <c r="M536" s="16"/>
      <c r="N536" s="16">
        <f t="shared" ref="N536" si="2778">SUM(D530:D536)</f>
        <v>970034</v>
      </c>
      <c r="O536" s="16">
        <f t="shared" ref="O536" si="2779">+H536/BW536</f>
        <v>72747.056925996207</v>
      </c>
      <c r="P536" s="41"/>
      <c r="Q536" s="17">
        <f t="shared" ref="Q536" si="2780">SUM(D530:D536)</f>
        <v>970034</v>
      </c>
      <c r="R536" s="16"/>
      <c r="S536" s="60">
        <f t="shared" ref="S536" si="2781">+(Q536-Q529)/Q529</f>
        <v>9.224655982542683E-2</v>
      </c>
      <c r="T536" s="16"/>
      <c r="U536" s="41"/>
      <c r="V536" s="10">
        <f t="shared" si="349"/>
        <v>428</v>
      </c>
      <c r="W536" s="34">
        <v>648</v>
      </c>
      <c r="X536" s="33">
        <v>4256</v>
      </c>
      <c r="Y536" s="33"/>
      <c r="Z536" s="33">
        <f t="shared" ref="Z536" si="2782">SUM(W531:W536)</f>
        <v>6117</v>
      </c>
      <c r="AA536" s="33">
        <f t="shared" ref="AA536" si="2783">+AA535+W536</f>
        <v>631174</v>
      </c>
      <c r="AB536" s="33"/>
      <c r="AC536" s="46">
        <f t="shared" ref="AC536" si="2784">+AA536/H536</f>
        <v>1.6463533713903904E-2</v>
      </c>
      <c r="AD536" s="33"/>
      <c r="AE536" s="33">
        <f t="shared" ref="AE536" si="2785">+AA536/BW536</f>
        <v>1197.6736242884251</v>
      </c>
      <c r="AF536" s="50"/>
      <c r="AG536" s="33">
        <f t="shared" ref="AG536" si="2786">SUM(W530:W536)</f>
        <v>6504</v>
      </c>
      <c r="AH536" s="33">
        <f t="shared" ref="AH536" si="2787">SUM(D507:D979)</f>
        <v>1121027356.060914</v>
      </c>
      <c r="AI536" s="213">
        <f t="shared" ref="AI536" si="2788">+(AG536-AG529)/AG529</f>
        <v>0.22462813029561288</v>
      </c>
      <c r="AJ536" s="50"/>
      <c r="AK536" s="111"/>
      <c r="AL536" s="23">
        <f t="shared" ref="AL536" si="2789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61">
        <f t="shared" ref="AR536" si="2790">+AL536/AP535</f>
        <v>8.4043691025846242E-4</v>
      </c>
      <c r="AS536" s="25"/>
      <c r="AT536" s="25"/>
      <c r="AU536" s="24"/>
      <c r="AV536" s="298">
        <f t="shared" ref="AV536" si="2791">+AP536/H536</f>
        <v>0.80370608575126012</v>
      </c>
      <c r="AW536" s="298"/>
      <c r="AX536" s="24">
        <f t="shared" ref="AX536" si="2792">+AP536/BW536</f>
        <v>58467.252371916511</v>
      </c>
      <c r="AY536" s="308"/>
      <c r="AZ536" s="111"/>
      <c r="BA536" s="65">
        <f t="shared" ref="BA536" si="2793">+BC536-BC535</f>
        <v>999373</v>
      </c>
      <c r="BB536" s="66"/>
      <c r="BC536" s="66">
        <v>578473611</v>
      </c>
      <c r="BD536" s="66"/>
      <c r="BE536" s="66">
        <f t="shared" ref="BE536" si="2794">+D536</f>
        <v>72785</v>
      </c>
      <c r="BF536" s="66"/>
      <c r="BG536" s="144">
        <f t="shared" ref="BG536" si="2795">+BE536/BA536</f>
        <v>7.2830664826846428E-2</v>
      </c>
      <c r="BH536" s="66"/>
      <c r="BI536" s="170"/>
      <c r="BJ536" s="66"/>
      <c r="BK536" s="66">
        <f t="shared" ref="BK536" si="2796">SUM(BA530:BA536)</f>
        <v>12385858</v>
      </c>
      <c r="BL536" s="66"/>
      <c r="BM536" s="144">
        <f t="shared" ref="BM536" si="2797">+Q536/BK536</f>
        <v>7.8317868653104208E-2</v>
      </c>
      <c r="BN536" s="65">
        <f t="shared" ref="BN536" si="2798">+BC536/BW536</f>
        <v>1097672.8861480076</v>
      </c>
      <c r="BO536" s="66"/>
      <c r="BP536" s="66">
        <f t="shared" ref="BP536" si="2799">+BP535+BE536</f>
        <v>37430721</v>
      </c>
      <c r="BQ536" s="66"/>
      <c r="BR536" s="435">
        <f t="shared" ref="BR536" si="2800">+BP536/BC536</f>
        <v>6.47060130111968E-2</v>
      </c>
      <c r="BS536" s="66"/>
      <c r="BT536" s="75"/>
      <c r="BU536" s="170"/>
      <c r="BV536" s="1"/>
      <c r="BW536" s="61">
        <f t="shared" si="1175"/>
        <v>527</v>
      </c>
    </row>
    <row r="537" spans="2:75" x14ac:dyDescent="0.3">
      <c r="B537" s="347">
        <f t="shared" si="2350"/>
        <v>44437</v>
      </c>
      <c r="C537" s="61"/>
      <c r="D537" s="17">
        <v>37262</v>
      </c>
      <c r="E537" s="16"/>
      <c r="F537" s="16"/>
      <c r="G537" s="16"/>
      <c r="H537" s="16">
        <f t="shared" ref="H537" si="2801">+H536+D537</f>
        <v>38374961</v>
      </c>
      <c r="I537" s="16"/>
      <c r="J537" s="436">
        <f t="shared" ref="J537" si="2802">+D537/H536</f>
        <v>9.7194148245568937E-4</v>
      </c>
      <c r="K537" s="16"/>
      <c r="L537" s="16"/>
      <c r="M537" s="16"/>
      <c r="N537" s="16">
        <f t="shared" ref="N537" si="2803">SUM(D531:D537)</f>
        <v>908113</v>
      </c>
      <c r="O537" s="16">
        <f t="shared" ref="O537" si="2804">+H537/BW537</f>
        <v>72679.850378787873</v>
      </c>
      <c r="P537" s="41"/>
      <c r="Q537" s="17">
        <f t="shared" ref="Q537" si="2805">SUM(D531:D537)</f>
        <v>908113</v>
      </c>
      <c r="R537" s="16"/>
      <c r="S537" s="60">
        <f t="shared" ref="S537" si="2806">+(Q537-Q530)/Q530</f>
        <v>-5.0497224513780192E-2</v>
      </c>
      <c r="T537" s="16"/>
      <c r="U537" s="41"/>
      <c r="V537" s="10">
        <f t="shared" si="349"/>
        <v>429</v>
      </c>
      <c r="W537" s="34">
        <v>284</v>
      </c>
      <c r="X537" s="33">
        <v>4256</v>
      </c>
      <c r="Y537" s="33"/>
      <c r="Z537" s="33">
        <f t="shared" ref="Z537" si="2807">SUM(W532:W537)</f>
        <v>5995</v>
      </c>
      <c r="AA537" s="33">
        <f t="shared" ref="AA537" si="2808">+AA536+W537</f>
        <v>631458</v>
      </c>
      <c r="AB537" s="33"/>
      <c r="AC537" s="46">
        <f t="shared" ref="AC537" si="2809">+AA537/H537</f>
        <v>1.6454948319035424E-2</v>
      </c>
      <c r="AD537" s="33"/>
      <c r="AE537" s="33">
        <f t="shared" ref="AE537" si="2810">+AA537/BW537</f>
        <v>1195.9431818181818</v>
      </c>
      <c r="AF537" s="50"/>
      <c r="AG537" s="33">
        <f t="shared" ref="AG537" si="2811">SUM(W531:W537)</f>
        <v>6401</v>
      </c>
      <c r="AH537" s="33">
        <f t="shared" ref="AH537" si="2812">SUM(D508:D980)</f>
        <v>1120926258.060914</v>
      </c>
      <c r="AI537" s="213">
        <f t="shared" ref="AI537" si="2813">+(AG537-AG530)/AG530</f>
        <v>0.14795552367288378</v>
      </c>
      <c r="AJ537" s="50"/>
      <c r="AK537" s="111"/>
      <c r="AL537" s="23">
        <f t="shared" ref="AL537" si="2814">+AP537-AP536</f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61">
        <f t="shared" ref="AR537" si="2815">+AL537/AP536</f>
        <v>4.6202415260791476E-4</v>
      </c>
      <c r="AS537" s="25"/>
      <c r="AT537" s="25"/>
      <c r="AU537" s="24"/>
      <c r="AV537" s="298">
        <f t="shared" ref="AV537" si="2816">+AP537/H537</f>
        <v>0.80329666002787603</v>
      </c>
      <c r="AW537" s="298"/>
      <c r="AX537" s="24">
        <f t="shared" ref="AX537" si="2817">+AP537/BW537</f>
        <v>58383.481060606064</v>
      </c>
      <c r="AY537" s="308"/>
      <c r="AZ537" s="111"/>
      <c r="BA537" s="65">
        <f t="shared" ref="BA537" si="2818">+BC537-BC536</f>
        <v>891043</v>
      </c>
      <c r="BB537" s="66"/>
      <c r="BC537" s="66">
        <v>579364654</v>
      </c>
      <c r="BD537" s="66"/>
      <c r="BE537" s="66">
        <f t="shared" ref="BE537" si="2819">+D537</f>
        <v>37262</v>
      </c>
      <c r="BF537" s="66"/>
      <c r="BG537" s="144">
        <f t="shared" ref="BG537" si="2820">+BE537/BA537</f>
        <v>4.1818408314750241E-2</v>
      </c>
      <c r="BH537" s="66"/>
      <c r="BI537" s="170"/>
      <c r="BJ537" s="66"/>
      <c r="BK537" s="66">
        <f t="shared" ref="BK537" si="2821">SUM(BA531:BA537)</f>
        <v>12093959</v>
      </c>
      <c r="BL537" s="66"/>
      <c r="BM537" s="144">
        <f t="shared" ref="BM537" si="2822">+Q537/BK537</f>
        <v>7.508814938102569E-2</v>
      </c>
      <c r="BN537" s="65">
        <f t="shared" ref="BN537" si="2823">+BC537/BW537</f>
        <v>1097281.5416666667</v>
      </c>
      <c r="BO537" s="66"/>
      <c r="BP537" s="66">
        <f t="shared" ref="BP537" si="2824">+BP536+BE537</f>
        <v>37467983</v>
      </c>
      <c r="BQ537" s="66"/>
      <c r="BR537" s="435">
        <f t="shared" ref="BR537" si="2825">+BP537/BC537</f>
        <v>6.4670812658861307E-2</v>
      </c>
      <c r="BS537" s="66"/>
      <c r="BT537" s="75"/>
      <c r="BU537" s="170"/>
      <c r="BV537" s="1"/>
      <c r="BW537" s="61">
        <f t="shared" si="1175"/>
        <v>528</v>
      </c>
    </row>
    <row r="538" spans="2:75" x14ac:dyDescent="0.3">
      <c r="B538" s="158">
        <f t="shared" si="2350"/>
        <v>44438</v>
      </c>
      <c r="C538" s="61"/>
      <c r="D538" s="17">
        <v>119642</v>
      </c>
      <c r="E538" s="16"/>
      <c r="F538" s="16"/>
      <c r="G538" s="16"/>
      <c r="H538" s="16">
        <f t="shared" ref="H538" si="2826">+H537+D538</f>
        <v>38494603</v>
      </c>
      <c r="I538" s="16"/>
      <c r="J538" s="436">
        <f t="shared" ref="J538" si="2827">+D538/H537</f>
        <v>3.1177100088779245E-3</v>
      </c>
      <c r="K538" s="16"/>
      <c r="L538" s="16"/>
      <c r="M538" s="16"/>
      <c r="N538" s="16">
        <f t="shared" ref="N538" si="2828">SUM(D532:D538)</f>
        <v>916621</v>
      </c>
      <c r="O538" s="16">
        <f t="shared" ref="O538" si="2829">+H538/BW538</f>
        <v>72768.625708884691</v>
      </c>
      <c r="P538" s="41"/>
      <c r="Q538" s="17">
        <f t="shared" ref="Q538" si="2830">SUM(D532:D538)</f>
        <v>916621</v>
      </c>
      <c r="R538" s="16"/>
      <c r="S538" s="60">
        <f t="shared" ref="S538" si="2831">+(Q538-Q531)/Q531</f>
        <v>-4.89964164399707E-2</v>
      </c>
      <c r="T538" s="16"/>
      <c r="U538" s="41"/>
      <c r="V538" s="10">
        <f t="shared" si="349"/>
        <v>430</v>
      </c>
      <c r="W538" s="34">
        <v>569</v>
      </c>
      <c r="X538" s="33">
        <v>4256</v>
      </c>
      <c r="Y538" s="33"/>
      <c r="Z538" s="33">
        <f t="shared" ref="Z538" si="2832">SUM(W533:W538)</f>
        <v>5430</v>
      </c>
      <c r="AA538" s="33">
        <f t="shared" ref="AA538" si="2833">+AA537+W538</f>
        <v>632027</v>
      </c>
      <c r="AB538" s="33"/>
      <c r="AC538" s="46">
        <f t="shared" ref="AC538" si="2834">+AA538/H538</f>
        <v>1.6418587301705645E-2</v>
      </c>
      <c r="AD538" s="33"/>
      <c r="AE538" s="33">
        <f t="shared" ref="AE538" si="2835">+AA538/BW538</f>
        <v>1194.7580340264651</v>
      </c>
      <c r="AF538" s="50"/>
      <c r="AG538" s="33">
        <f t="shared" ref="AG538" si="2836">SUM(W532:W538)</f>
        <v>6564</v>
      </c>
      <c r="AH538" s="33">
        <f t="shared" ref="AH538" si="2837">SUM(D509:D981)</f>
        <v>1120874360.060914</v>
      </c>
      <c r="AI538" s="213">
        <f t="shared" ref="AI538" si="2838">+(AG538-AG531)/AG531</f>
        <v>0.15685583362707084</v>
      </c>
      <c r="AJ538" s="50"/>
      <c r="AK538" s="111"/>
      <c r="AL538" s="23">
        <f t="shared" ref="AL538" si="2839">+AP538-AP537</f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61">
        <f t="shared" ref="AR538" si="2840">+AL538/AP537</f>
        <v>3.8274563834376409E-3</v>
      </c>
      <c r="AS538" s="25"/>
      <c r="AT538" s="25"/>
      <c r="AU538" s="24"/>
      <c r="AV538" s="298">
        <f t="shared" ref="AV538" si="2841">+AP538/H538</f>
        <v>0.80386502492310419</v>
      </c>
      <c r="AW538" s="298"/>
      <c r="AX538" s="24">
        <f t="shared" ref="AX538" si="2842">+AP538/BW538</f>
        <v>58496.153119092625</v>
      </c>
      <c r="AY538" s="308"/>
      <c r="AZ538" s="111"/>
      <c r="BA538" s="65">
        <f t="shared" ref="BA538" si="2843">+BC538-BC537</f>
        <v>3159358</v>
      </c>
      <c r="BB538" s="66"/>
      <c r="BC538" s="66">
        <v>582524012</v>
      </c>
      <c r="BD538" s="66"/>
      <c r="BE538" s="66">
        <f t="shared" ref="BE538" si="2844">+D538</f>
        <v>119642</v>
      </c>
      <c r="BF538" s="66"/>
      <c r="BG538" s="144">
        <f t="shared" ref="BG538" si="2845">+BE538/BA538</f>
        <v>3.7869086061155466E-2</v>
      </c>
      <c r="BH538" s="66"/>
      <c r="BI538" s="170"/>
      <c r="BJ538" s="66"/>
      <c r="BK538" s="66">
        <f t="shared" ref="BK538" si="2846">SUM(BA532:BA538)</f>
        <v>13457657</v>
      </c>
      <c r="BL538" s="66"/>
      <c r="BM538" s="144">
        <f t="shared" ref="BM538" si="2847">+Q538/BK538</f>
        <v>6.8111484785204443E-2</v>
      </c>
      <c r="BN538" s="65">
        <f t="shared" ref="BN538" si="2848">+BC538/BW538</f>
        <v>1101179.6068052929</v>
      </c>
      <c r="BO538" s="66"/>
      <c r="BP538" s="66">
        <f t="shared" ref="BP538" si="2849">+BP537+BE538</f>
        <v>37587625</v>
      </c>
      <c r="BQ538" s="66"/>
      <c r="BR538" s="435">
        <f t="shared" ref="BR538" si="2850">+BP538/BC538</f>
        <v>6.4525451699319822E-2</v>
      </c>
      <c r="BS538" s="66"/>
      <c r="BT538" s="75"/>
      <c r="BU538" s="170"/>
      <c r="BV538" s="1"/>
      <c r="BW538" s="61">
        <f t="shared" si="1175"/>
        <v>529</v>
      </c>
    </row>
    <row r="539" spans="2:75" x14ac:dyDescent="0.3">
      <c r="B539" s="158">
        <f t="shared" si="2350"/>
        <v>44439</v>
      </c>
      <c r="C539" s="61"/>
      <c r="D539" s="17">
        <v>158666</v>
      </c>
      <c r="E539" s="16"/>
      <c r="F539" s="16"/>
      <c r="G539" s="16"/>
      <c r="H539" s="16">
        <f t="shared" ref="H539" si="2851">+H538+D539</f>
        <v>38653269</v>
      </c>
      <c r="I539" s="16"/>
      <c r="J539" s="436">
        <f t="shared" ref="J539" si="2852">+D539/H538</f>
        <v>4.1217726027723937E-3</v>
      </c>
      <c r="K539" s="16"/>
      <c r="L539" s="16"/>
      <c r="M539" s="16"/>
      <c r="N539" s="16">
        <f t="shared" ref="N539" si="2853">SUM(D533:D539)</f>
        <v>927668</v>
      </c>
      <c r="O539" s="16">
        <f t="shared" ref="O539" si="2854">+H539/BW539</f>
        <v>72930.696226415093</v>
      </c>
      <c r="P539" s="41"/>
      <c r="Q539" s="17">
        <f t="shared" ref="Q539" si="2855">SUM(D533:D539)</f>
        <v>927668</v>
      </c>
      <c r="R539" s="16"/>
      <c r="S539" s="60">
        <f t="shared" ref="S539" si="2856">+(Q539-Q532)/Q532</f>
        <v>-4.0843863184483409E-2</v>
      </c>
      <c r="T539" s="16"/>
      <c r="U539" s="41"/>
      <c r="V539" s="10">
        <f t="shared" si="349"/>
        <v>431</v>
      </c>
      <c r="W539" s="34">
        <v>1266</v>
      </c>
      <c r="X539" s="33">
        <v>4256</v>
      </c>
      <c r="Y539" s="33"/>
      <c r="Z539" s="33">
        <f t="shared" ref="Z539" si="2857">SUM(W534:W539)</f>
        <v>5409</v>
      </c>
      <c r="AA539" s="33">
        <f t="shared" ref="AA539" si="2858">+AA538+W539</f>
        <v>633293</v>
      </c>
      <c r="AB539" s="33"/>
      <c r="AC539" s="46">
        <f t="shared" ref="AC539" si="2859">+AA539/H539</f>
        <v>1.6383944136781809E-2</v>
      </c>
      <c r="AD539" s="33"/>
      <c r="AE539" s="33">
        <f t="shared" ref="AE539" si="2860">+AA539/BW539</f>
        <v>1194.8924528301886</v>
      </c>
      <c r="AF539" s="50"/>
      <c r="AG539" s="33">
        <f t="shared" ref="AG539" si="2861">SUM(W533:W539)</f>
        <v>6696</v>
      </c>
      <c r="AH539" s="33">
        <f t="shared" ref="AH539" si="2862">SUM(D510:D982)</f>
        <v>1120852592.060914</v>
      </c>
      <c r="AI539" s="213">
        <f t="shared" ref="AI539" si="2863">+(AG539-AG532)/AG532</f>
        <v>0.14207743476036158</v>
      </c>
      <c r="AJ539" s="50"/>
      <c r="AK539" s="111"/>
      <c r="AL539" s="23">
        <f t="shared" ref="AL539" si="2864">+AP539-AP538</f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61">
        <f t="shared" ref="AR539" si="2865">+AL539/AP538</f>
        <v>2.4607631768718574E-3</v>
      </c>
      <c r="AS539" s="25"/>
      <c r="AT539" s="25"/>
      <c r="AU539" s="24"/>
      <c r="AV539" s="298">
        <f t="shared" ref="AV539" si="2866">+AP539/H539</f>
        <v>0.8025352784521278</v>
      </c>
      <c r="AW539" s="298"/>
      <c r="AX539" s="24">
        <f t="shared" ref="AX539" si="2867">+AP539/BW539</f>
        <v>58529.456603773586</v>
      </c>
      <c r="AY539" s="308"/>
      <c r="AZ539" s="111"/>
      <c r="BA539" s="65">
        <f t="shared" ref="BA539" si="2868">+BC539-BC538</f>
        <v>1787032</v>
      </c>
      <c r="BB539" s="66"/>
      <c r="BC539" s="66">
        <v>584311044</v>
      </c>
      <c r="BD539" s="66"/>
      <c r="BE539" s="66">
        <f t="shared" ref="BE539" si="2869">+D539</f>
        <v>158666</v>
      </c>
      <c r="BF539" s="66"/>
      <c r="BG539" s="144">
        <f t="shared" ref="BG539" si="2870">+BE539/BA539</f>
        <v>8.8787441970820891E-2</v>
      </c>
      <c r="BH539" s="66"/>
      <c r="BI539" s="170"/>
      <c r="BJ539" s="66"/>
      <c r="BK539" s="66">
        <f t="shared" ref="BK539" si="2871">SUM(BA533:BA539)</f>
        <v>13797620</v>
      </c>
      <c r="BL539" s="66"/>
      <c r="BM539" s="144">
        <f t="shared" ref="BM539" si="2872">+Q539/BK539</f>
        <v>6.7233914254777274E-2</v>
      </c>
      <c r="BN539" s="65">
        <f t="shared" ref="BN539" si="2873">+BC539/BW539</f>
        <v>1102473.6679245282</v>
      </c>
      <c r="BO539" s="66"/>
      <c r="BP539" s="66">
        <f t="shared" ref="BP539" si="2874">+BP538+BE539</f>
        <v>37746291</v>
      </c>
      <c r="BQ539" s="66"/>
      <c r="BR539" s="435">
        <f t="shared" ref="BR539" si="2875">+BP539/BC539</f>
        <v>6.4599653536584534E-2</v>
      </c>
      <c r="BS539" s="66"/>
      <c r="BT539" s="75"/>
      <c r="BU539" s="170"/>
      <c r="BV539" s="1"/>
      <c r="BW539" s="61">
        <f t="shared" si="1175"/>
        <v>530</v>
      </c>
    </row>
    <row r="540" spans="2:75" x14ac:dyDescent="0.3">
      <c r="B540" s="158">
        <f t="shared" si="2350"/>
        <v>44440</v>
      </c>
      <c r="C540" s="61"/>
      <c r="D540" s="17">
        <v>184420</v>
      </c>
      <c r="E540" s="16"/>
      <c r="F540" s="16"/>
      <c r="G540" s="16"/>
      <c r="H540" s="16">
        <f t="shared" ref="H540" si="2876">+H539+D540</f>
        <v>38837689</v>
      </c>
      <c r="I540" s="16"/>
      <c r="J540" s="436">
        <f t="shared" ref="J540" si="2877">+D540/H539</f>
        <v>4.7711359160851315E-3</v>
      </c>
      <c r="K540" s="16"/>
      <c r="L540" s="16"/>
      <c r="M540" s="16"/>
      <c r="N540" s="16">
        <f t="shared" ref="N540" si="2878">SUM(D534:D540)</f>
        <v>940351</v>
      </c>
      <c r="O540" s="16">
        <f t="shared" ref="O540" si="2879">+H540/BW540</f>
        <v>73140.657250470817</v>
      </c>
      <c r="P540" s="41"/>
      <c r="Q540" s="17">
        <f t="shared" ref="Q540" si="2880">SUM(D534:D540)</f>
        <v>940351</v>
      </c>
      <c r="R540" s="16"/>
      <c r="S540" s="60">
        <f t="shared" ref="S540" si="2881">+(Q540-Q533)/Q533</f>
        <v>-4.1222250431034044E-2</v>
      </c>
      <c r="T540" s="16"/>
      <c r="U540" s="41"/>
      <c r="V540" s="10">
        <f t="shared" si="349"/>
        <v>432</v>
      </c>
      <c r="W540" s="34">
        <v>1480</v>
      </c>
      <c r="X540" s="33">
        <v>4256</v>
      </c>
      <c r="Y540" s="33"/>
      <c r="Z540" s="33">
        <f t="shared" ref="Z540" si="2882">SUM(W535:W540)</f>
        <v>5551</v>
      </c>
      <c r="AA540" s="33">
        <f t="shared" ref="AA540" si="2883">+AA539+W540</f>
        <v>634773</v>
      </c>
      <c r="AB540" s="33"/>
      <c r="AC540" s="46">
        <f t="shared" ref="AC540" si="2884">+AA540/H540</f>
        <v>1.6344252615030724E-2</v>
      </c>
      <c r="AD540" s="33"/>
      <c r="AE540" s="33">
        <f t="shared" ref="AE540" si="2885">+AA540/BW540</f>
        <v>1195.4293785310736</v>
      </c>
      <c r="AF540" s="50"/>
      <c r="AG540" s="33">
        <f t="shared" ref="AG540" si="2886">SUM(W534:W540)</f>
        <v>6889</v>
      </c>
      <c r="AH540" s="33">
        <f t="shared" ref="AH540" si="2887">SUM(D511:D983)</f>
        <v>1120796223.060914</v>
      </c>
      <c r="AI540" s="213">
        <f t="shared" ref="AI540" si="2888">+(AG540-AG533)/AG533</f>
        <v>0.14378216835464055</v>
      </c>
      <c r="AJ540" s="50"/>
      <c r="AK540" s="111"/>
      <c r="AL540" s="23">
        <f t="shared" ref="AL540" si="2889">+AP540-AP539</f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61">
        <f t="shared" ref="AR540" si="2890">+AL540/AP539</f>
        <v>3.7821304105799072E-3</v>
      </c>
      <c r="AS540" s="25"/>
      <c r="AT540" s="25"/>
      <c r="AU540" s="24"/>
      <c r="AV540" s="298">
        <f t="shared" ref="AV540" si="2891">+AP540/H540</f>
        <v>0.80174533556824146</v>
      </c>
      <c r="AW540" s="298"/>
      <c r="AX540" s="24">
        <f t="shared" ref="AX540" si="2892">+AP540/BW540</f>
        <v>58640.180790960454</v>
      </c>
      <c r="AY540" s="308"/>
      <c r="AZ540" s="111"/>
      <c r="BA540" s="65">
        <f t="shared" ref="BA540" si="2893">+BC540-BC539</f>
        <v>2369139</v>
      </c>
      <c r="BB540" s="66"/>
      <c r="BC540" s="66">
        <v>586680183</v>
      </c>
      <c r="BD540" s="66"/>
      <c r="BE540" s="66">
        <f t="shared" ref="BE540" si="2894">+D540</f>
        <v>184420</v>
      </c>
      <c r="BF540" s="66"/>
      <c r="BG540" s="144">
        <f t="shared" ref="BG540" si="2895">+BE540/BA540</f>
        <v>7.78426255276706E-2</v>
      </c>
      <c r="BH540" s="66"/>
      <c r="BI540" s="170"/>
      <c r="BJ540" s="66"/>
      <c r="BK540" s="66">
        <f t="shared" ref="BK540" si="2896">SUM(BA534:BA540)</f>
        <v>13028659</v>
      </c>
      <c r="BL540" s="66"/>
      <c r="BM540" s="144">
        <f t="shared" ref="BM540" si="2897">+Q540/BK540</f>
        <v>7.217557846897367E-2</v>
      </c>
      <c r="BN540" s="65">
        <f t="shared" ref="BN540" si="2898">+BC540/BW540</f>
        <v>1104859.1016949152</v>
      </c>
      <c r="BO540" s="66"/>
      <c r="BP540" s="66">
        <f t="shared" ref="BP540" si="2899">+BP539+BE540</f>
        <v>37930711</v>
      </c>
      <c r="BQ540" s="66"/>
      <c r="BR540" s="435">
        <f t="shared" ref="BR540" si="2900">+BP540/BC540</f>
        <v>6.465313146600693E-2</v>
      </c>
      <c r="BS540" s="66"/>
      <c r="BT540" s="75"/>
      <c r="BU540" s="170"/>
      <c r="BV540" s="1"/>
      <c r="BW540" s="61">
        <f t="shared" si="1175"/>
        <v>531</v>
      </c>
    </row>
    <row r="541" spans="2:75" x14ac:dyDescent="0.3">
      <c r="B541" s="158">
        <f t="shared" si="2350"/>
        <v>44441</v>
      </c>
      <c r="C541" s="61"/>
      <c r="D541" s="17">
        <v>177568</v>
      </c>
      <c r="E541" s="16"/>
      <c r="F541" s="16"/>
      <c r="G541" s="16"/>
      <c r="H541" s="16">
        <f t="shared" ref="H541" si="2901">+H540+D541</f>
        <v>39015257</v>
      </c>
      <c r="I541" s="16"/>
      <c r="J541" s="436">
        <f t="shared" ref="J541" si="2902">+D541/H540</f>
        <v>4.5720537079330338E-3</v>
      </c>
      <c r="K541" s="16"/>
      <c r="L541" s="16"/>
      <c r="M541" s="16"/>
      <c r="N541" s="16">
        <f t="shared" ref="N541" si="2903">SUM(D535:D541)</f>
        <v>940713</v>
      </c>
      <c r="O541" s="16">
        <f t="shared" ref="O541" si="2904">+H541/BW541</f>
        <v>73336.949248120305</v>
      </c>
      <c r="P541" s="41"/>
      <c r="Q541" s="17">
        <f t="shared" ref="Q541" si="2905">SUM(D535:D541)</f>
        <v>940713</v>
      </c>
      <c r="R541" s="16"/>
      <c r="S541" s="60">
        <f t="shared" ref="S541" si="2906">+(Q541-Q534)/Q534</f>
        <v>-6.216614991974638E-2</v>
      </c>
      <c r="T541" s="16"/>
      <c r="U541" s="41"/>
      <c r="V541" s="10">
        <f t="shared" si="349"/>
        <v>433</v>
      </c>
      <c r="W541" s="34">
        <v>1565</v>
      </c>
      <c r="X541" s="33">
        <v>4256</v>
      </c>
      <c r="Y541" s="33"/>
      <c r="Z541" s="33">
        <f t="shared" ref="Z541" si="2907">SUM(W536:W541)</f>
        <v>5812</v>
      </c>
      <c r="AA541" s="33">
        <f t="shared" ref="AA541" si="2908">+AA540+W541</f>
        <v>636338</v>
      </c>
      <c r="AB541" s="33"/>
      <c r="AC541" s="46">
        <f t="shared" ref="AC541" si="2909">+AA541/H541</f>
        <v>1.6309978427157354E-2</v>
      </c>
      <c r="AD541" s="33"/>
      <c r="AE541" s="33">
        <f t="shared" ref="AE541" si="2910">+AA541/BW541</f>
        <v>1196.124060150376</v>
      </c>
      <c r="AF541" s="50"/>
      <c r="AG541" s="33">
        <f t="shared" ref="AG541" si="2911">SUM(W535:W541)</f>
        <v>7116</v>
      </c>
      <c r="AH541" s="33">
        <f t="shared" ref="AH541" si="2912">SUM(D512:D984)</f>
        <v>1120691465.060914</v>
      </c>
      <c r="AI541" s="213">
        <f t="shared" ref="AI541" si="2913">+(AG541-AG534)/AG534</f>
        <v>0.11291836096340319</v>
      </c>
      <c r="AJ541" s="50"/>
      <c r="AK541" s="111"/>
      <c r="AL541" s="23">
        <f t="shared" ref="AL541" si="2914">+AP541-AP540</f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61">
        <f t="shared" ref="AR541" si="2915">+AL541/AP540</f>
        <v>1.9878966929599957E-3</v>
      </c>
      <c r="AS541" s="25"/>
      <c r="AT541" s="25"/>
      <c r="AU541" s="24"/>
      <c r="AV541" s="298">
        <f t="shared" ref="AV541" si="2916">+AP541/H541</f>
        <v>0.79968292916794059</v>
      </c>
      <c r="AW541" s="298"/>
      <c r="AX541" s="24">
        <f t="shared" ref="AX541" si="2917">+AP541/BW541</f>
        <v>58646.306390977443</v>
      </c>
      <c r="AY541" s="308"/>
      <c r="AZ541" s="111"/>
      <c r="BA541" s="65">
        <f t="shared" ref="BA541" si="2918">+BC541-BC540</f>
        <v>1881537</v>
      </c>
      <c r="BB541" s="66"/>
      <c r="BC541" s="66">
        <v>588561720</v>
      </c>
      <c r="BD541" s="66"/>
      <c r="BE541" s="66">
        <f t="shared" ref="BE541" si="2919">+D541</f>
        <v>177568</v>
      </c>
      <c r="BF541" s="66"/>
      <c r="BG541" s="144">
        <f t="shared" ref="BG541" si="2920">+BE541/BA541</f>
        <v>9.4373908139994064E-2</v>
      </c>
      <c r="BH541" s="66"/>
      <c r="BI541" s="170"/>
      <c r="BJ541" s="66"/>
      <c r="BK541" s="66">
        <f t="shared" ref="BK541" si="2921">SUM(BA535:BA541)</f>
        <v>12561720</v>
      </c>
      <c r="BL541" s="66"/>
      <c r="BM541" s="144">
        <f t="shared" ref="BM541" si="2922">+Q541/BK541</f>
        <v>7.4887276583143078E-2</v>
      </c>
      <c r="BN541" s="65">
        <f t="shared" ref="BN541" si="2923">+BC541/BW541</f>
        <v>1106319.0225563911</v>
      </c>
      <c r="BO541" s="66"/>
      <c r="BP541" s="66">
        <f t="shared" ref="BP541" si="2924">+BP540+BE541</f>
        <v>38108279</v>
      </c>
      <c r="BQ541" s="66"/>
      <c r="BR541" s="435">
        <f t="shared" ref="BR541" si="2925">+BP541/BC541</f>
        <v>6.4748144000938423E-2</v>
      </c>
      <c r="BS541" s="66"/>
      <c r="BT541" s="75"/>
      <c r="BU541" s="170"/>
      <c r="BV541" s="1"/>
      <c r="BW541" s="61">
        <f t="shared" si="1175"/>
        <v>532</v>
      </c>
    </row>
    <row r="542" spans="2:75" x14ac:dyDescent="0.3">
      <c r="B542" s="158">
        <f t="shared" si="2350"/>
        <v>44442</v>
      </c>
      <c r="C542" s="61"/>
      <c r="D542" s="17">
        <v>182593</v>
      </c>
      <c r="E542" s="16"/>
      <c r="F542" s="16"/>
      <c r="G542" s="16"/>
      <c r="H542" s="16">
        <f t="shared" ref="H542" si="2926">+H541+D542</f>
        <v>39197850</v>
      </c>
      <c r="I542" s="16"/>
      <c r="J542" s="436">
        <f t="shared" ref="J542" si="2927">+D542/H541</f>
        <v>4.6800409388563042E-3</v>
      </c>
      <c r="K542" s="16"/>
      <c r="L542" s="16"/>
      <c r="M542" s="16"/>
      <c r="N542" s="16">
        <f t="shared" ref="N542" si="2928">SUM(D536:D542)</f>
        <v>932936</v>
      </c>
      <c r="O542" s="16">
        <f t="shared" ref="O542" si="2929">+H542/BW542</f>
        <v>73541.932457786112</v>
      </c>
      <c r="P542" s="41"/>
      <c r="Q542" s="17">
        <f t="shared" ref="Q542" si="2930">SUM(D536:D542)</f>
        <v>932936</v>
      </c>
      <c r="R542" s="16"/>
      <c r="S542" s="60">
        <f t="shared" ref="S542" si="2931">+(Q542-Q535)/Q535</f>
        <v>-0.10495312434042128</v>
      </c>
      <c r="T542" s="16"/>
      <c r="U542" s="41"/>
      <c r="V542" s="10">
        <f t="shared" si="349"/>
        <v>434</v>
      </c>
      <c r="W542" s="34">
        <v>1512</v>
      </c>
      <c r="X542" s="33">
        <v>4256</v>
      </c>
      <c r="Y542" s="33"/>
      <c r="Z542" s="33">
        <f t="shared" ref="Z542" si="2932">SUM(W537:W542)</f>
        <v>6676</v>
      </c>
      <c r="AA542" s="33">
        <f t="shared" ref="AA542" si="2933">+AA541+W542</f>
        <v>637850</v>
      </c>
      <c r="AB542" s="33"/>
      <c r="AC542" s="46">
        <f t="shared" ref="AC542" si="2934">+AA542/H542</f>
        <v>1.6272576174458549E-2</v>
      </c>
      <c r="AD542" s="33"/>
      <c r="AE542" s="33">
        <f t="shared" ref="AE542" si="2935">+AA542/BW542</f>
        <v>1196.71669793621</v>
      </c>
      <c r="AF542" s="50"/>
      <c r="AG542" s="33">
        <f t="shared" ref="AG542" si="2936">SUM(W536:W542)</f>
        <v>7324</v>
      </c>
      <c r="AH542" s="33">
        <f t="shared" ref="AH542" si="2937">SUM(D513:D985)</f>
        <v>1120579186.060914</v>
      </c>
      <c r="AI542" s="213">
        <f t="shared" ref="AI542" si="2938">+(AG542-AG535)/AG535</f>
        <v>0.10317818948636844</v>
      </c>
      <c r="AJ542" s="50"/>
      <c r="AK542" s="111"/>
      <c r="AL542" s="23">
        <f t="shared" ref="AL542" si="2939">+AP542-AP541</f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61">
        <f t="shared" ref="AR542" si="2940">+AL542/AP541</f>
        <v>2.1157804199926056E-3</v>
      </c>
      <c r="AS542" s="25"/>
      <c r="AT542" s="25"/>
      <c r="AU542" s="24"/>
      <c r="AV542" s="298">
        <f t="shared" ref="AV542" si="2941">+AP542/H542</f>
        <v>0.79764188597078667</v>
      </c>
      <c r="AW542" s="298"/>
      <c r="AX542" s="24">
        <f t="shared" ref="AX542" si="2942">+AP542/BW542</f>
        <v>58660.125703564729</v>
      </c>
      <c r="AY542" s="308"/>
      <c r="AZ542" s="111"/>
      <c r="BA542" s="65">
        <f t="shared" ref="BA542" si="2943">+BC542-BC541</f>
        <v>2113664</v>
      </c>
      <c r="BB542" s="66"/>
      <c r="BC542" s="66">
        <v>590675384</v>
      </c>
      <c r="BD542" s="66"/>
      <c r="BE542" s="66">
        <f t="shared" ref="BE542" si="2944">+D542</f>
        <v>182593</v>
      </c>
      <c r="BF542" s="66"/>
      <c r="BG542" s="144">
        <f t="shared" ref="BG542" si="2945">+BE542/BA542</f>
        <v>8.638695648882698E-2</v>
      </c>
      <c r="BH542" s="66"/>
      <c r="BI542" s="170"/>
      <c r="BJ542" s="66"/>
      <c r="BK542" s="66">
        <f t="shared" ref="BK542" si="2946">SUM(BA536:BA542)</f>
        <v>13201146</v>
      </c>
      <c r="BL542" s="66"/>
      <c r="BM542" s="144">
        <f t="shared" ref="BM542" si="2947">+Q542/BK542</f>
        <v>7.0670834183638301E-2</v>
      </c>
      <c r="BN542" s="65">
        <f t="shared" ref="BN542" si="2948">+BC542/BW542</f>
        <v>1108208.9756097561</v>
      </c>
      <c r="BO542" s="66"/>
      <c r="BP542" s="66">
        <f t="shared" ref="BP542" si="2949">+BP541+BE542</f>
        <v>38290872</v>
      </c>
      <c r="BQ542" s="66"/>
      <c r="BR542" s="435">
        <f t="shared" ref="BR542" si="2950">+BP542/BC542</f>
        <v>6.4825576005381663E-2</v>
      </c>
      <c r="BS542" s="66"/>
      <c r="BT542" s="75"/>
      <c r="BU542" s="170"/>
      <c r="BV542" s="1"/>
      <c r="BW542" s="61">
        <f t="shared" si="1175"/>
        <v>533</v>
      </c>
    </row>
    <row r="543" spans="2:75" x14ac:dyDescent="0.3">
      <c r="B543" s="158">
        <f t="shared" si="2350"/>
        <v>44443</v>
      </c>
      <c r="C543" s="61"/>
      <c r="D543" s="17">
        <v>58682</v>
      </c>
      <c r="E543" s="16"/>
      <c r="F543" s="16"/>
      <c r="G543" s="16"/>
      <c r="H543" s="16">
        <f t="shared" ref="H543" si="2951">+H542+D543</f>
        <v>39256532</v>
      </c>
      <c r="I543" s="16"/>
      <c r="J543" s="436">
        <f t="shared" ref="J543" si="2952">+D543/H542</f>
        <v>1.4970719057295235E-3</v>
      </c>
      <c r="K543" s="16"/>
      <c r="L543" s="16"/>
      <c r="M543" s="16"/>
      <c r="N543" s="16">
        <f t="shared" ref="N543" si="2953">SUM(D537:D543)</f>
        <v>918833</v>
      </c>
      <c r="O543" s="16">
        <f t="shared" ref="O543" si="2954">+H543/BW543</f>
        <v>73514.104868913855</v>
      </c>
      <c r="P543" s="41"/>
      <c r="Q543" s="17">
        <f t="shared" ref="Q543" si="2955">SUM(D537:D543)</f>
        <v>918833</v>
      </c>
      <c r="R543" s="16"/>
      <c r="S543" s="60">
        <f t="shared" ref="S543" si="2956">+(Q543-Q536)/Q536</f>
        <v>-5.2782685967708347E-2</v>
      </c>
      <c r="T543" s="16"/>
      <c r="U543" s="41"/>
      <c r="V543" s="10">
        <f t="shared" si="349"/>
        <v>435</v>
      </c>
      <c r="W543" s="34">
        <v>576</v>
      </c>
      <c r="X543" s="33">
        <v>4256</v>
      </c>
      <c r="Y543" s="33"/>
      <c r="Z543" s="33">
        <f t="shared" ref="Z543" si="2957">SUM(W538:W543)</f>
        <v>6968</v>
      </c>
      <c r="AA543" s="33">
        <f t="shared" ref="AA543" si="2958">+AA542+W543</f>
        <v>638426</v>
      </c>
      <c r="AB543" s="33"/>
      <c r="AC543" s="46">
        <f t="shared" ref="AC543" si="2959">+AA543/H543</f>
        <v>1.626292409120602E-2</v>
      </c>
      <c r="AD543" s="33"/>
      <c r="AE543" s="33">
        <f t="shared" ref="AE543" si="2960">+AA543/BW543</f>
        <v>1195.5543071161048</v>
      </c>
      <c r="AF543" s="50"/>
      <c r="AG543" s="33">
        <f t="shared" ref="AG543" si="2961">SUM(W537:W543)</f>
        <v>7252</v>
      </c>
      <c r="AH543" s="33">
        <f t="shared" ref="AH543" si="2962">SUM(D514:D986)</f>
        <v>1120458241.060914</v>
      </c>
      <c r="AI543" s="213">
        <f t="shared" ref="AI543" si="2963">+(AG543-AG536)/AG536</f>
        <v>0.11500615006150061</v>
      </c>
      <c r="AJ543" s="50"/>
      <c r="AK543" s="111"/>
      <c r="AL543" s="23">
        <f t="shared" ref="AL543" si="2964">+AP543-AP542</f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61">
        <f t="shared" ref="AR543" si="2965">+AL543/AP542</f>
        <v>1.0899113016193036E-3</v>
      </c>
      <c r="AS543" s="25"/>
      <c r="AT543" s="25"/>
      <c r="AU543" s="24"/>
      <c r="AV543" s="298">
        <f t="shared" ref="AV543" si="2966">+AP543/H543</f>
        <v>0.79731760309341637</v>
      </c>
      <c r="AW543" s="298"/>
      <c r="AX543" s="24">
        <f t="shared" ref="AX543" si="2967">+AP543/BW543</f>
        <v>58614.089887640446</v>
      </c>
      <c r="AY543" s="308"/>
      <c r="AZ543" s="111"/>
      <c r="BA543" s="65">
        <f t="shared" ref="BA543" si="2968">+BC543-BC542</f>
        <v>834621</v>
      </c>
      <c r="BB543" s="66"/>
      <c r="BC543" s="66">
        <v>591510005</v>
      </c>
      <c r="BD543" s="66"/>
      <c r="BE543" s="66">
        <f t="shared" ref="BE543" si="2969">+D543</f>
        <v>58682</v>
      </c>
      <c r="BF543" s="66"/>
      <c r="BG543" s="144">
        <f t="shared" ref="BG543" si="2970">+BE543/BA543</f>
        <v>7.0309757362922817E-2</v>
      </c>
      <c r="BH543" s="66"/>
      <c r="BI543" s="170"/>
      <c r="BJ543" s="66"/>
      <c r="BK543" s="66">
        <f t="shared" ref="BK543" si="2971">SUM(BA537:BA543)</f>
        <v>13036394</v>
      </c>
      <c r="BL543" s="66"/>
      <c r="BM543" s="144">
        <f t="shared" ref="BM543" si="2972">+Q543/BK543</f>
        <v>7.0482144065299041E-2</v>
      </c>
      <c r="BN543" s="65">
        <f t="shared" ref="BN543" si="2973">+BC543/BW543</f>
        <v>1107696.638576779</v>
      </c>
      <c r="BO543" s="66"/>
      <c r="BP543" s="66">
        <f t="shared" ref="BP543" si="2974">+BP542+BE543</f>
        <v>38349554</v>
      </c>
      <c r="BQ543" s="66"/>
      <c r="BR543" s="435">
        <f t="shared" ref="BR543" si="2975">+BP543/BC543</f>
        <v>6.4833314188827623E-2</v>
      </c>
      <c r="BS543" s="66"/>
      <c r="BT543" s="75"/>
      <c r="BU543" s="170"/>
      <c r="BV543" s="1"/>
      <c r="BW543" s="61">
        <f t="shared" si="1175"/>
        <v>534</v>
      </c>
    </row>
    <row r="544" spans="2:75" x14ac:dyDescent="0.3">
      <c r="B544" s="347">
        <f t="shared" si="2350"/>
        <v>44444</v>
      </c>
      <c r="C544" s="61"/>
      <c r="D544" s="17">
        <v>35586</v>
      </c>
      <c r="E544" s="16"/>
      <c r="F544" s="16"/>
      <c r="G544" s="16"/>
      <c r="H544" s="16">
        <f t="shared" ref="H544" si="2976">+H543+D544</f>
        <v>39292118</v>
      </c>
      <c r="I544" s="16"/>
      <c r="J544" s="436">
        <f t="shared" ref="J544" si="2977">+D544/H543</f>
        <v>9.0649882164833102E-4</v>
      </c>
      <c r="K544" s="16"/>
      <c r="L544" s="16"/>
      <c r="M544" s="16"/>
      <c r="N544" s="16">
        <f t="shared" ref="N544" si="2978">SUM(D538:D544)</f>
        <v>917157</v>
      </c>
      <c r="O544" s="16">
        <f t="shared" ref="O544" si="2979">+H544/BW544</f>
        <v>73443.211214953277</v>
      </c>
      <c r="P544" s="41"/>
      <c r="Q544" s="17">
        <f t="shared" ref="Q544" si="2980">SUM(D538:D544)</f>
        <v>917157</v>
      </c>
      <c r="R544" s="16"/>
      <c r="S544" s="60">
        <f t="shared" ref="S544" si="2981">+(Q544-Q537)/Q537</f>
        <v>9.9591130178733264E-3</v>
      </c>
      <c r="T544" s="16"/>
      <c r="U544" s="41"/>
      <c r="V544" s="10">
        <f t="shared" si="349"/>
        <v>436</v>
      </c>
      <c r="W544" s="34">
        <v>367</v>
      </c>
      <c r="X544" s="33">
        <v>4256</v>
      </c>
      <c r="Y544" s="33"/>
      <c r="Z544" s="33">
        <f t="shared" ref="Z544" si="2982">SUM(W539:W544)</f>
        <v>6766</v>
      </c>
      <c r="AA544" s="33">
        <f t="shared" ref="AA544" si="2983">+AA543+W544</f>
        <v>638793</v>
      </c>
      <c r="AB544" s="33"/>
      <c r="AC544" s="46">
        <f t="shared" ref="AC544" si="2984">+AA544/H544</f>
        <v>1.6257535417154148E-2</v>
      </c>
      <c r="AD544" s="33"/>
      <c r="AE544" s="33">
        <f t="shared" ref="AE544" si="2985">+AA544/BW544</f>
        <v>1194.0056074766355</v>
      </c>
      <c r="AF544" s="50"/>
      <c r="AG544" s="33">
        <f t="shared" ref="AG544" si="2986">SUM(W538:W544)</f>
        <v>7335</v>
      </c>
      <c r="AH544" s="33">
        <f t="shared" ref="AH544" si="2987">SUM(D515:D987)</f>
        <v>1120327535.060914</v>
      </c>
      <c r="AI544" s="213">
        <f t="shared" ref="AI544" si="2988">+(AG544-AG537)/AG537</f>
        <v>0.14591470082799562</v>
      </c>
      <c r="AJ544" s="50"/>
      <c r="AK544" s="111"/>
      <c r="AL544" s="23">
        <f t="shared" ref="AL544" si="2989">+AP544-AP543</f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61">
        <f t="shared" ref="AR544" si="2990">+AL544/AP543</f>
        <v>5.0565617986804054E-4</v>
      </c>
      <c r="AS544" s="25"/>
      <c r="AT544" s="25"/>
      <c r="AU544" s="24"/>
      <c r="AV544" s="298">
        <f t="shared" ref="AV544" si="2991">+AP544/H544</f>
        <v>0.79699829365268626</v>
      </c>
      <c r="AW544" s="298"/>
      <c r="AX544" s="24">
        <f t="shared" ref="AX544" si="2992">+AP544/BW544</f>
        <v>58534.114018691587</v>
      </c>
      <c r="AY544" s="308"/>
      <c r="AZ544" s="111"/>
      <c r="BA544" s="65">
        <f t="shared" ref="BA544" si="2993">+BC544-BC543</f>
        <v>907739</v>
      </c>
      <c r="BB544" s="66"/>
      <c r="BC544" s="66">
        <v>592417744</v>
      </c>
      <c r="BD544" s="66"/>
      <c r="BE544" s="66">
        <f t="shared" ref="BE544" si="2994">+D544</f>
        <v>35586</v>
      </c>
      <c r="BF544" s="66"/>
      <c r="BG544" s="144">
        <f t="shared" ref="BG544" si="2995">+BE544/BA544</f>
        <v>3.9202898630553498E-2</v>
      </c>
      <c r="BH544" s="66"/>
      <c r="BI544" s="170"/>
      <c r="BJ544" s="66"/>
      <c r="BK544" s="66">
        <f t="shared" ref="BK544" si="2996">SUM(BA538:BA544)</f>
        <v>13053090</v>
      </c>
      <c r="BL544" s="66"/>
      <c r="BM544" s="144">
        <f t="shared" ref="BM544" si="2997">+Q544/BK544</f>
        <v>7.0263592758496266E-2</v>
      </c>
      <c r="BN544" s="65">
        <f t="shared" ref="BN544" si="2998">+BC544/BW544</f>
        <v>1107322.8859813083</v>
      </c>
      <c r="BO544" s="66"/>
      <c r="BP544" s="66">
        <f t="shared" ref="BP544" si="2999">+BP543+BE544</f>
        <v>38385140</v>
      </c>
      <c r="BQ544" s="66"/>
      <c r="BR544" s="435">
        <f t="shared" ref="BR544" si="3000">+BP544/BC544</f>
        <v>6.4794041685557621E-2</v>
      </c>
      <c r="BS544" s="66"/>
      <c r="BT544" s="75"/>
      <c r="BU544" s="170"/>
      <c r="BV544" s="1"/>
      <c r="BW544" s="61">
        <f t="shared" si="1175"/>
        <v>535</v>
      </c>
    </row>
    <row r="545" spans="2:85" x14ac:dyDescent="0.3">
      <c r="B545" s="158">
        <f t="shared" si="2350"/>
        <v>44445</v>
      </c>
      <c r="C545" s="61"/>
      <c r="D545" s="17">
        <v>39644</v>
      </c>
      <c r="E545" s="16"/>
      <c r="F545" s="16"/>
      <c r="G545" s="16"/>
      <c r="H545" s="16">
        <f t="shared" ref="H545" si="3001">+H544+D545</f>
        <v>39331762</v>
      </c>
      <c r="I545" s="16"/>
      <c r="J545" s="436">
        <f t="shared" ref="J545" si="3002">+D545/H544</f>
        <v>1.0089555365786086E-3</v>
      </c>
      <c r="K545" s="16"/>
      <c r="L545" s="16"/>
      <c r="M545" s="16"/>
      <c r="N545" s="16">
        <f t="shared" ref="N545" si="3003">SUM(D539:D545)</f>
        <v>837159</v>
      </c>
      <c r="O545" s="16">
        <f t="shared" ref="O545" si="3004">+H545/BW545</f>
        <v>73380.15298507463</v>
      </c>
      <c r="P545" s="41"/>
      <c r="Q545" s="17">
        <f t="shared" ref="Q545" si="3005">SUM(D539:D545)</f>
        <v>837159</v>
      </c>
      <c r="R545" s="16"/>
      <c r="S545" s="60">
        <f t="shared" ref="S545" si="3006">+(Q545-Q538)/Q538</f>
        <v>-8.669013692682144E-2</v>
      </c>
      <c r="T545" s="16"/>
      <c r="U545" s="41"/>
      <c r="V545" s="10">
        <f t="shared" si="349"/>
        <v>437</v>
      </c>
      <c r="W545" s="34">
        <v>236</v>
      </c>
      <c r="X545" s="33">
        <v>4256</v>
      </c>
      <c r="Y545" s="33"/>
      <c r="Z545" s="33">
        <f t="shared" ref="Z545" si="3007">SUM(W540:W545)</f>
        <v>5736</v>
      </c>
      <c r="AA545" s="33">
        <f t="shared" ref="AA545" si="3008">+AA544+W545</f>
        <v>639029</v>
      </c>
      <c r="AB545" s="33"/>
      <c r="AC545" s="46">
        <f t="shared" ref="AC545" si="3009">+AA545/H545</f>
        <v>1.624714905983617E-2</v>
      </c>
      <c r="AD545" s="33"/>
      <c r="AE545" s="33">
        <f t="shared" ref="AE545" si="3010">+AA545/BW545</f>
        <v>1192.2182835820895</v>
      </c>
      <c r="AF545" s="50"/>
      <c r="AG545" s="33">
        <f t="shared" ref="AG545" si="3011">SUM(W539:W545)</f>
        <v>7002</v>
      </c>
      <c r="AH545" s="33">
        <f t="shared" ref="AH545" si="3012">SUM(D516:D988)</f>
        <v>1120258585.060914</v>
      </c>
      <c r="AI545" s="213">
        <f t="shared" ref="AI545" si="3013">+(AG545-AG538)/AG538</f>
        <v>6.6727605118829983E-2</v>
      </c>
      <c r="AJ545" s="50"/>
      <c r="AK545" s="111"/>
      <c r="AL545" s="23">
        <f t="shared" ref="AL545" si="3014">+AP545-AP544</f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61">
        <f t="shared" ref="AR545" si="3015">+AL545/AP544</f>
        <v>6.2355202658240575E-4</v>
      </c>
      <c r="AS545" s="25"/>
      <c r="AT545" s="25"/>
      <c r="AU545" s="24"/>
      <c r="AV545" s="298">
        <f t="shared" ref="AV545" si="3016">+AP545/H545</f>
        <v>0.79669143731725012</v>
      </c>
      <c r="AW545" s="298"/>
      <c r="AX545" s="24">
        <f t="shared" ref="AX545" si="3017">+AP545/BW545</f>
        <v>58461.339552238809</v>
      </c>
      <c r="AY545" s="308"/>
      <c r="AZ545" s="111"/>
      <c r="BA545" s="65">
        <f t="shared" ref="BA545" si="3018">+BC545-BC544</f>
        <v>953476</v>
      </c>
      <c r="BB545" s="66"/>
      <c r="BC545" s="66">
        <v>593371220</v>
      </c>
      <c r="BD545" s="66"/>
      <c r="BE545" s="66">
        <f t="shared" ref="BE545" si="3019">+D545</f>
        <v>39644</v>
      </c>
      <c r="BF545" s="66"/>
      <c r="BG545" s="144">
        <f t="shared" ref="BG545" si="3020">+BE545/BA545</f>
        <v>4.1578393163540561E-2</v>
      </c>
      <c r="BH545" s="66"/>
      <c r="BI545" s="170"/>
      <c r="BJ545" s="66"/>
      <c r="BK545" s="66">
        <f t="shared" ref="BK545" si="3021">SUM(BA539:BA545)</f>
        <v>10847208</v>
      </c>
      <c r="BL545" s="66"/>
      <c r="BM545" s="144">
        <f t="shared" ref="BM545" si="3022">+Q545/BK545</f>
        <v>7.7177371356758354E-2</v>
      </c>
      <c r="BN545" s="65">
        <f t="shared" ref="BN545" si="3023">+BC545/BW545</f>
        <v>1107035.8582089553</v>
      </c>
      <c r="BO545" s="66"/>
      <c r="BP545" s="66">
        <f t="shared" ref="BP545" si="3024">+BP544+BE545</f>
        <v>38424784</v>
      </c>
      <c r="BQ545" s="66"/>
      <c r="BR545" s="435">
        <f t="shared" ref="BR545" si="3025">+BP545/BC545</f>
        <v>6.4756736937797557E-2</v>
      </c>
      <c r="BS545" s="66"/>
      <c r="BT545" s="75"/>
      <c r="BU545" s="170"/>
      <c r="BV545" s="1"/>
      <c r="BW545" s="61">
        <f t="shared" si="1175"/>
        <v>536</v>
      </c>
    </row>
    <row r="546" spans="2:85" x14ac:dyDescent="0.3">
      <c r="B546" s="158">
        <f t="shared" si="2350"/>
        <v>44446</v>
      </c>
      <c r="C546" s="61"/>
      <c r="D546" s="17">
        <v>115776</v>
      </c>
      <c r="E546" s="16"/>
      <c r="F546" s="16"/>
      <c r="G546" s="16"/>
      <c r="H546" s="16">
        <f t="shared" ref="H546" si="3026">+H545+D546</f>
        <v>39447538</v>
      </c>
      <c r="I546" s="16"/>
      <c r="J546" s="436">
        <f t="shared" ref="J546" si="3027">+D546/H545</f>
        <v>2.9435752204541457E-3</v>
      </c>
      <c r="K546" s="16"/>
      <c r="L546" s="16"/>
      <c r="M546" s="16"/>
      <c r="N546" s="16">
        <f t="shared" ref="N546" si="3028">SUM(D540:D546)</f>
        <v>794269</v>
      </c>
      <c r="O546" s="16">
        <f t="shared" ref="O546" si="3029">+H546/BW546</f>
        <v>73459.102420856609</v>
      </c>
      <c r="P546" s="41"/>
      <c r="Q546" s="17">
        <f t="shared" ref="Q546" si="3030">SUM(D540:D546)</f>
        <v>794269</v>
      </c>
      <c r="R546" s="16"/>
      <c r="S546" s="60">
        <f t="shared" ref="S546" si="3031">+(Q546-Q539)/Q539</f>
        <v>-0.14380036823518758</v>
      </c>
      <c r="T546" s="16"/>
      <c r="U546" s="41"/>
      <c r="V546" s="10">
        <f t="shared" si="349"/>
        <v>438</v>
      </c>
      <c r="W546" s="34">
        <v>919</v>
      </c>
      <c r="X546" s="33">
        <v>4256</v>
      </c>
      <c r="Y546" s="33"/>
      <c r="Z546" s="33">
        <f t="shared" ref="Z546" si="3032">SUM(W541:W546)</f>
        <v>5175</v>
      </c>
      <c r="AA546" s="33">
        <f t="shared" ref="AA546" si="3033">+AA545+W546</f>
        <v>639948</v>
      </c>
      <c r="AB546" s="33"/>
      <c r="AC546" s="46">
        <f t="shared" ref="AC546" si="3034">+AA546/H546</f>
        <v>1.6222761481337569E-2</v>
      </c>
      <c r="AD546" s="33"/>
      <c r="AE546" s="33">
        <f t="shared" ref="AE546" si="3035">+AA546/BW546</f>
        <v>1191.7094972067039</v>
      </c>
      <c r="AF546" s="50"/>
      <c r="AG546" s="33">
        <f t="shared" ref="AG546" si="3036">SUM(W540:W546)</f>
        <v>6655</v>
      </c>
      <c r="AH546" s="33">
        <f t="shared" ref="AH546" si="3037">SUM(D517:D989)</f>
        <v>1120234195.060914</v>
      </c>
      <c r="AI546" s="213">
        <f t="shared" ref="AI546" si="3038">+(AG546-AG539)/AG539</f>
        <v>-6.1230585424133814E-3</v>
      </c>
      <c r="AJ546" s="50"/>
      <c r="AK546" s="111"/>
      <c r="AL546" s="23">
        <f t="shared" ref="AL546" si="3039">+AP546-AP545</f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61">
        <f t="shared" ref="AR546" si="3040">+AL546/AP545</f>
        <v>6.6756069628614752E-3</v>
      </c>
      <c r="AS546" s="25"/>
      <c r="AT546" s="25"/>
      <c r="AU546" s="24"/>
      <c r="AV546" s="298">
        <f t="shared" ref="AV546" si="3041">+AP546/H546</f>
        <v>0.79965598867031951</v>
      </c>
      <c r="AW546" s="298"/>
      <c r="AX546" s="24">
        <f t="shared" ref="AX546" si="3042">+AP546/BW546</f>
        <v>58742.011173184357</v>
      </c>
      <c r="AY546" s="308"/>
      <c r="AZ546" s="111"/>
      <c r="BA546" s="65">
        <f t="shared" ref="BA546" si="3043">+BC546-BC545</f>
        <v>3957044</v>
      </c>
      <c r="BB546" s="66"/>
      <c r="BC546" s="66">
        <v>597328264</v>
      </c>
      <c r="BD546" s="66"/>
      <c r="BE546" s="66">
        <f t="shared" ref="BE546" si="3044">+D546</f>
        <v>115776</v>
      </c>
      <c r="BF546" s="66"/>
      <c r="BG546" s="144">
        <f t="shared" ref="BG546" si="3045">+BE546/BA546</f>
        <v>2.9258203851157582E-2</v>
      </c>
      <c r="BH546" s="66"/>
      <c r="BI546" s="170"/>
      <c r="BJ546" s="66"/>
      <c r="BK546" s="66">
        <f t="shared" ref="BK546" si="3046">SUM(BA540:BA546)</f>
        <v>13017220</v>
      </c>
      <c r="BL546" s="66"/>
      <c r="BM546" s="144">
        <f t="shared" ref="BM546" si="3047">+Q546/BK546</f>
        <v>6.1016791603737207E-2</v>
      </c>
      <c r="BN546" s="65">
        <f t="shared" ref="BN546" si="3048">+BC546/BW546</f>
        <v>1112343.1359404097</v>
      </c>
      <c r="BO546" s="66"/>
      <c r="BP546" s="66">
        <f t="shared" ref="BP546" si="3049">+BP545+BE546</f>
        <v>38540560</v>
      </c>
      <c r="BQ546" s="66"/>
      <c r="BR546" s="435">
        <f t="shared" ref="BR546" si="3050">+BP546/BC546</f>
        <v>6.4521574354968081E-2</v>
      </c>
      <c r="BS546" s="66"/>
      <c r="BT546" s="75"/>
      <c r="BU546" s="170"/>
      <c r="BV546" s="1"/>
      <c r="BW546" s="61">
        <f t="shared" si="1175"/>
        <v>537</v>
      </c>
    </row>
    <row r="547" spans="2:85" x14ac:dyDescent="0.3">
      <c r="B547" s="158">
        <f t="shared" si="2350"/>
        <v>44447</v>
      </c>
      <c r="C547" s="61"/>
      <c r="D547" s="17">
        <v>157759</v>
      </c>
      <c r="E547" s="16"/>
      <c r="F547" s="16"/>
      <c r="G547" s="16"/>
      <c r="H547" s="16">
        <f t="shared" ref="H547" si="3051">+H546+D547</f>
        <v>39605297</v>
      </c>
      <c r="I547" s="16"/>
      <c r="J547" s="436">
        <f t="shared" ref="J547" si="3052">+D547/H546</f>
        <v>3.9992102929211956E-3</v>
      </c>
      <c r="K547" s="16"/>
      <c r="L547" s="16"/>
      <c r="M547" s="16"/>
      <c r="N547" s="16">
        <f t="shared" ref="N547" si="3053">SUM(D541:D547)</f>
        <v>767608</v>
      </c>
      <c r="O547" s="16">
        <f t="shared" ref="O547" si="3054">+H547/BW547</f>
        <v>73615.7936802974</v>
      </c>
      <c r="P547" s="41"/>
      <c r="Q547" s="17">
        <f t="shared" ref="Q547" si="3055">SUM(D541:D547)</f>
        <v>767608</v>
      </c>
      <c r="R547" s="16"/>
      <c r="S547" s="60">
        <f t="shared" ref="S547" si="3056">+(Q547-Q540)/Q540</f>
        <v>-0.18370055436746491</v>
      </c>
      <c r="T547" s="16"/>
      <c r="U547" s="41"/>
      <c r="V547" s="10">
        <f t="shared" si="349"/>
        <v>439</v>
      </c>
      <c r="W547" s="34">
        <v>1700</v>
      </c>
      <c r="X547" s="33">
        <v>4256</v>
      </c>
      <c r="Y547" s="33"/>
      <c r="Z547" s="33">
        <f t="shared" ref="Z547" si="3057">SUM(W542:W547)</f>
        <v>5310</v>
      </c>
      <c r="AA547" s="33">
        <f t="shared" ref="AA547" si="3058">+AA546+W547</f>
        <v>641648</v>
      </c>
      <c r="AB547" s="33"/>
      <c r="AC547" s="46">
        <f t="shared" ref="AC547" si="3059">+AA547/H547</f>
        <v>1.6201065226199414E-2</v>
      </c>
      <c r="AD547" s="33"/>
      <c r="AE547" s="33">
        <f t="shared" ref="AE547" si="3060">+AA547/BW547</f>
        <v>1192.6542750929368</v>
      </c>
      <c r="AF547" s="50"/>
      <c r="AG547" s="33">
        <f t="shared" ref="AG547" si="3061">SUM(W541:W547)</f>
        <v>6875</v>
      </c>
      <c r="AH547" s="33">
        <f t="shared" ref="AH547" si="3062">SUM(D518:D990)</f>
        <v>1120131820.060914</v>
      </c>
      <c r="AI547" s="213">
        <f t="shared" ref="AI547" si="3063">+(AG547-AG540)/AG540</f>
        <v>-2.0322252866889243E-3</v>
      </c>
      <c r="AJ547" s="50"/>
      <c r="AK547" s="111"/>
      <c r="AL547" s="23">
        <f t="shared" ref="AL547" si="3064">+AP547-AP546</f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61">
        <f t="shared" ref="AR547" si="3065">+AL547/AP546</f>
        <v>3.9007483405960985E-3</v>
      </c>
      <c r="AS547" s="25"/>
      <c r="AT547" s="25"/>
      <c r="AU547" s="24"/>
      <c r="AV547" s="298">
        <f t="shared" ref="AV547" si="3066">+AP547/H547</f>
        <v>0.79957756660681023</v>
      </c>
      <c r="AW547" s="298"/>
      <c r="AX547" s="24">
        <f t="shared" ref="AX547" si="3067">+AP547/BW547</f>
        <v>58861.53717472119</v>
      </c>
      <c r="AY547" s="308"/>
      <c r="AZ547" s="111"/>
      <c r="BA547" s="65">
        <f t="shared" ref="BA547" si="3068">+BC547-BC546</f>
        <v>1689006</v>
      </c>
      <c r="BB547" s="66"/>
      <c r="BC547" s="66">
        <v>599017270</v>
      </c>
      <c r="BD547" s="66"/>
      <c r="BE547" s="66">
        <f t="shared" ref="BE547" si="3069">+D547</f>
        <v>157759</v>
      </c>
      <c r="BF547" s="66"/>
      <c r="BG547" s="144">
        <f t="shared" ref="BG547" si="3070">+BE547/BA547</f>
        <v>9.3403457418150079E-2</v>
      </c>
      <c r="BH547" s="66"/>
      <c r="BI547" s="170"/>
      <c r="BJ547" s="66"/>
      <c r="BK547" s="66">
        <f t="shared" ref="BK547" si="3071">SUM(BA541:BA547)</f>
        <v>12337087</v>
      </c>
      <c r="BL547" s="66"/>
      <c r="BM547" s="144">
        <f t="shared" ref="BM547" si="3072">+Q547/BK547</f>
        <v>6.2219549882399305E-2</v>
      </c>
      <c r="BN547" s="65">
        <f t="shared" ref="BN547" si="3073">+BC547/BW547</f>
        <v>1113415</v>
      </c>
      <c r="BO547" s="66"/>
      <c r="BP547" s="66">
        <f t="shared" ref="BP547" si="3074">+BP546+BE547</f>
        <v>38698319</v>
      </c>
      <c r="BQ547" s="66"/>
      <c r="BR547" s="435">
        <f t="shared" ref="BR547" si="3075">+BP547/BC547</f>
        <v>6.4603010527559582E-2</v>
      </c>
      <c r="BS547" s="66"/>
      <c r="BT547" s="75"/>
      <c r="BU547" s="170"/>
      <c r="BV547" s="1"/>
      <c r="BW547" s="61">
        <f t="shared" si="1175"/>
        <v>538</v>
      </c>
    </row>
    <row r="548" spans="2:85" x14ac:dyDescent="0.3">
      <c r="B548" s="158">
        <f t="shared" si="2350"/>
        <v>44448</v>
      </c>
      <c r="C548" s="61"/>
      <c r="D548" s="17">
        <v>160748</v>
      </c>
      <c r="E548" s="16"/>
      <c r="F548" s="16"/>
      <c r="G548" s="16"/>
      <c r="H548" s="16">
        <f t="shared" ref="H548" si="3076">+H547+D548</f>
        <v>39766045</v>
      </c>
      <c r="I548" s="16"/>
      <c r="J548" s="436">
        <f t="shared" ref="J548" si="3077">+D548/H547</f>
        <v>4.0587500202308793E-3</v>
      </c>
      <c r="K548" s="16"/>
      <c r="L548" s="16"/>
      <c r="M548" s="16"/>
      <c r="N548" s="16">
        <f t="shared" ref="N548" si="3078">SUM(D542:D548)</f>
        <v>750788</v>
      </c>
      <c r="O548" s="16">
        <f t="shared" ref="O548" si="3079">+H548/BW548</f>
        <v>73777.448979591834</v>
      </c>
      <c r="P548" s="41"/>
      <c r="Q548" s="17">
        <f t="shared" ref="Q548" si="3080">SUM(D542:D548)</f>
        <v>750788</v>
      </c>
      <c r="R548" s="16"/>
      <c r="S548" s="60">
        <f t="shared" ref="S548" si="3081">+(Q548-Q541)/Q541</f>
        <v>-0.20189473303760019</v>
      </c>
      <c r="T548" s="16"/>
      <c r="U548" s="41"/>
      <c r="V548" s="10">
        <f t="shared" si="349"/>
        <v>440</v>
      </c>
      <c r="W548" s="34">
        <v>1929</v>
      </c>
      <c r="X548" s="33">
        <v>4256</v>
      </c>
      <c r="Y548" s="33"/>
      <c r="Z548" s="33">
        <f t="shared" ref="Z548" si="3082">SUM(W543:W548)</f>
        <v>5727</v>
      </c>
      <c r="AA548" s="33">
        <f t="shared" ref="AA548" si="3083">+AA547+W548</f>
        <v>643577</v>
      </c>
      <c r="AB548" s="33"/>
      <c r="AC548" s="46">
        <f t="shared" ref="AC548" si="3084">+AA548/H548</f>
        <v>1.618408368244818E-2</v>
      </c>
      <c r="AD548" s="33"/>
      <c r="AE548" s="33">
        <f t="shared" ref="AE548" si="3085">+AA548/BW548</f>
        <v>1194.0204081632653</v>
      </c>
      <c r="AF548" s="50"/>
      <c r="AG548" s="33">
        <f t="shared" ref="AG548" si="3086">SUM(W542:W548)</f>
        <v>7239</v>
      </c>
      <c r="AH548" s="33">
        <f t="shared" ref="AH548" si="3087">SUM(D519:D991)</f>
        <v>1120030566.060914</v>
      </c>
      <c r="AI548" s="213">
        <f t="shared" ref="AI548" si="3088">+(AG548-AG541)/AG541</f>
        <v>1.7284991568296795E-2</v>
      </c>
      <c r="AJ548" s="50"/>
      <c r="AK548" s="111"/>
      <c r="AL548" s="23">
        <f t="shared" ref="AL548" si="3089">+AP548-AP547</f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61">
        <f t="shared" ref="AR548" si="3090">+AL548/AP547</f>
        <v>2.4457877280961841E-3</v>
      </c>
      <c r="AS548" s="25"/>
      <c r="AT548" s="25"/>
      <c r="AU548" s="24"/>
      <c r="AV548" s="298">
        <f t="shared" ref="AV548" si="3091">+AP548/H548</f>
        <v>0.7982930915055797</v>
      </c>
      <c r="AW548" s="298"/>
      <c r="AX548" s="24">
        <f t="shared" ref="AX548" si="3092">+AP548/BW548</f>
        <v>58896.027829313542</v>
      </c>
      <c r="AY548" s="308"/>
      <c r="AZ548" s="111"/>
      <c r="BA548" s="65">
        <f t="shared" ref="BA548" si="3093">+BC548-BC547</f>
        <v>1876420</v>
      </c>
      <c r="BB548" s="66"/>
      <c r="BC548" s="66">
        <v>600893690</v>
      </c>
      <c r="BD548" s="66"/>
      <c r="BE548" s="66">
        <f t="shared" ref="BE548" si="3094">+D548</f>
        <v>160748</v>
      </c>
      <c r="BF548" s="66"/>
      <c r="BG548" s="144">
        <f t="shared" ref="BG548" si="3095">+BE548/BA548</f>
        <v>8.5667387898231737E-2</v>
      </c>
      <c r="BH548" s="66"/>
      <c r="BI548" s="170"/>
      <c r="BJ548" s="66"/>
      <c r="BK548" s="66">
        <f t="shared" ref="BK548" si="3096">SUM(BA542:BA548)</f>
        <v>12331970</v>
      </c>
      <c r="BL548" s="66"/>
      <c r="BM548" s="144">
        <f t="shared" ref="BM548" si="3097">+Q548/BK548</f>
        <v>6.0881432569167782E-2</v>
      </c>
      <c r="BN548" s="65">
        <f t="shared" ref="BN548" si="3098">+BC548/BW548</f>
        <v>1114830.5936920224</v>
      </c>
      <c r="BO548" s="66"/>
      <c r="BP548" s="66">
        <f t="shared" ref="BP548" si="3099">+BP547+BE548</f>
        <v>38859067</v>
      </c>
      <c r="BQ548" s="66"/>
      <c r="BR548" s="435">
        <f t="shared" ref="BR548" si="3100">+BP548/BC548</f>
        <v>6.4668788583884113E-2</v>
      </c>
      <c r="BS548" s="66"/>
      <c r="BT548" s="75"/>
      <c r="BU548" s="170"/>
      <c r="BV548" s="1"/>
      <c r="BW548" s="61">
        <f t="shared" si="1175"/>
        <v>539</v>
      </c>
    </row>
    <row r="549" spans="2:85" x14ac:dyDescent="0.3">
      <c r="B549" s="158">
        <f t="shared" si="2350"/>
        <v>44449</v>
      </c>
      <c r="C549" s="61"/>
      <c r="D549" s="17">
        <v>171125</v>
      </c>
      <c r="E549" s="16"/>
      <c r="F549" s="16"/>
      <c r="G549" s="16"/>
      <c r="H549" s="16">
        <f t="shared" ref="H549" si="3101">+H548+D549</f>
        <v>39937170</v>
      </c>
      <c r="I549" s="16"/>
      <c r="J549" s="436">
        <f t="shared" ref="J549" si="3102">+D549/H548</f>
        <v>4.3032944312163804E-3</v>
      </c>
      <c r="K549" s="16"/>
      <c r="L549" s="16"/>
      <c r="M549" s="16"/>
      <c r="N549" s="16">
        <f t="shared" ref="N549" si="3103">SUM(D543:D549)</f>
        <v>739320</v>
      </c>
      <c r="O549" s="16">
        <f t="shared" ref="O549" si="3104">+H549/BW549</f>
        <v>73957.722222222219</v>
      </c>
      <c r="P549" s="41"/>
      <c r="Q549" s="17">
        <f t="shared" ref="Q549" si="3105">SUM(D543:D549)</f>
        <v>739320</v>
      </c>
      <c r="R549" s="16"/>
      <c r="S549" s="60">
        <f t="shared" ref="S549" si="3106">+(Q549-Q542)/Q542</f>
        <v>-0.20753406450174502</v>
      </c>
      <c r="T549" s="16"/>
      <c r="U549" s="41"/>
      <c r="V549" s="10">
        <f t="shared" si="349"/>
        <v>441</v>
      </c>
      <c r="W549" s="34">
        <v>1761</v>
      </c>
      <c r="X549" s="33">
        <v>4256</v>
      </c>
      <c r="Y549" s="33"/>
      <c r="Z549" s="33">
        <f t="shared" ref="Z549" si="3107">SUM(W544:W549)</f>
        <v>6912</v>
      </c>
      <c r="AA549" s="33">
        <f t="shared" ref="AA549" si="3108">+AA548+W549</f>
        <v>645338</v>
      </c>
      <c r="AB549" s="33"/>
      <c r="AC549" s="46">
        <f t="shared" ref="AC549" si="3109">+AA549/H549</f>
        <v>1.6158831484554364E-2</v>
      </c>
      <c r="AD549" s="33"/>
      <c r="AE549" s="33">
        <f t="shared" ref="AE549" si="3110">+AA549/BW549</f>
        <v>1195.0703703703705</v>
      </c>
      <c r="AF549" s="50"/>
      <c r="AG549" s="33">
        <f t="shared" ref="AG549" si="3111">SUM(W543:W549)</f>
        <v>7488</v>
      </c>
      <c r="AH549" s="33">
        <f t="shared" ref="AH549" si="3112">SUM(D520:D992)</f>
        <v>1119885931.060914</v>
      </c>
      <c r="AI549" s="213">
        <f t="shared" ref="AI549" si="3113">+(AG549-AG542)/AG542</f>
        <v>2.2392135445111962E-2</v>
      </c>
      <c r="AJ549" s="50"/>
      <c r="AK549" s="111"/>
      <c r="AL549" s="23">
        <f t="shared" ref="AL549" si="3114">+AP549-AP548</f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61">
        <f t="shared" ref="AR549" si="3115">+AL549/AP548</f>
        <v>2.3951834368411062E-3</v>
      </c>
      <c r="AS549" s="25"/>
      <c r="AT549" s="25"/>
      <c r="AU549" s="24"/>
      <c r="AV549" s="298">
        <f t="shared" ref="AV549" si="3116">+AP549/H549</f>
        <v>0.7967763865091092</v>
      </c>
      <c r="AW549" s="298"/>
      <c r="AX549" s="24">
        <f t="shared" ref="AX549" si="3117">+AP549/BW549</f>
        <v>58927.76666666667</v>
      </c>
      <c r="AY549" s="308"/>
      <c r="AZ549" s="111"/>
      <c r="BA549" s="65">
        <f t="shared" ref="BA549" si="3118">+BC549-BC548</f>
        <v>1900343</v>
      </c>
      <c r="BB549" s="66"/>
      <c r="BC549" s="66">
        <v>602794033</v>
      </c>
      <c r="BD549" s="66"/>
      <c r="BE549" s="66">
        <f t="shared" ref="BE549" si="3119">+D549</f>
        <v>171125</v>
      </c>
      <c r="BF549" s="66"/>
      <c r="BG549" s="144">
        <f t="shared" ref="BG549" si="3120">+BE549/BA549</f>
        <v>9.0049533163223686E-2</v>
      </c>
      <c r="BH549" s="66"/>
      <c r="BI549" s="170"/>
      <c r="BJ549" s="66"/>
      <c r="BK549" s="66">
        <f t="shared" ref="BK549" si="3121">SUM(BA543:BA549)</f>
        <v>12118649</v>
      </c>
      <c r="BL549" s="66"/>
      <c r="BM549" s="144">
        <f t="shared" ref="BM549" si="3122">+Q549/BK549</f>
        <v>6.1006800345484058E-2</v>
      </c>
      <c r="BN549" s="65">
        <f t="shared" ref="BN549" si="3123">+BC549/BW549</f>
        <v>1116285.2462962964</v>
      </c>
      <c r="BO549" s="66"/>
      <c r="BP549" s="66">
        <f t="shared" ref="BP549" si="3124">+BP548+BE549</f>
        <v>39030192</v>
      </c>
      <c r="BQ549" s="66"/>
      <c r="BR549" s="435">
        <f t="shared" ref="BR549" si="3125">+BP549/BC549</f>
        <v>6.4748802846892148E-2</v>
      </c>
      <c r="BS549" s="66"/>
      <c r="BT549" s="75"/>
      <c r="BU549" s="170"/>
      <c r="BV549" s="1"/>
      <c r="BW549" s="61">
        <f t="shared" si="1175"/>
        <v>540</v>
      </c>
    </row>
    <row r="550" spans="2:85" x14ac:dyDescent="0.3">
      <c r="B550" s="158">
        <f t="shared" si="2350"/>
        <v>44450</v>
      </c>
      <c r="C550" s="61"/>
      <c r="D550" s="17">
        <v>72088</v>
      </c>
      <c r="E550" s="16"/>
      <c r="F550" s="16"/>
      <c r="G550" s="16"/>
      <c r="H550" s="16">
        <f t="shared" ref="H550" si="3126">+H549+D550</f>
        <v>40009258</v>
      </c>
      <c r="I550" s="16"/>
      <c r="J550" s="436">
        <f t="shared" ref="J550" si="3127">+D550/H549</f>
        <v>1.8050352591332836E-3</v>
      </c>
      <c r="K550" s="16"/>
      <c r="L550" s="16"/>
      <c r="M550" s="16"/>
      <c r="N550" s="16">
        <f t="shared" ref="N550" si="3128">SUM(D544:D550)</f>
        <v>752726</v>
      </c>
      <c r="O550" s="16">
        <f t="shared" ref="O550" si="3129">+H550/BW550</f>
        <v>73954.266173752316</v>
      </c>
      <c r="P550" s="41"/>
      <c r="Q550" s="17">
        <f t="shared" ref="Q550" si="3130">SUM(D544:D550)</f>
        <v>752726</v>
      </c>
      <c r="R550" s="16"/>
      <c r="S550" s="60">
        <f t="shared" ref="S550" si="3131">+(Q550-Q543)/Q543</f>
        <v>-0.18078040296767747</v>
      </c>
      <c r="T550" s="16"/>
      <c r="U550" s="41"/>
      <c r="V550" s="10">
        <f t="shared" si="349"/>
        <v>442</v>
      </c>
      <c r="W550" s="34">
        <v>719</v>
      </c>
      <c r="X550" s="33">
        <v>4256</v>
      </c>
      <c r="Y550" s="33"/>
      <c r="Z550" s="33">
        <f t="shared" ref="Z550" si="3132">SUM(W545:W550)</f>
        <v>7264</v>
      </c>
      <c r="AA550" s="33">
        <f t="shared" ref="AA550" si="3133">+AA549+W550</f>
        <v>646057</v>
      </c>
      <c r="AB550" s="33"/>
      <c r="AC550" s="46">
        <f t="shared" ref="AC550" si="3134">+AA550/H550</f>
        <v>1.6147687617700884E-2</v>
      </c>
      <c r="AD550" s="33"/>
      <c r="AE550" s="33">
        <f t="shared" ref="AE550" si="3135">+AA550/BW550</f>
        <v>1194.1903881700555</v>
      </c>
      <c r="AF550" s="50"/>
      <c r="AG550" s="33">
        <f t="shared" ref="AG550" si="3136">SUM(W544:W550)</f>
        <v>7631</v>
      </c>
      <c r="AH550" s="33">
        <f t="shared" ref="AH550" si="3137">SUM(D521:D993)</f>
        <v>1119742394.060914</v>
      </c>
      <c r="AI550" s="213">
        <f t="shared" ref="AI550" si="3138">+(AG550-AG543)/AG543</f>
        <v>5.2261445118587976E-2</v>
      </c>
      <c r="AJ550" s="50"/>
      <c r="AK550" s="111"/>
      <c r="AL550" s="23">
        <f t="shared" ref="AL550" si="3139">+AP550-AP549</f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61">
        <f t="shared" ref="AR550" si="3140">+AL550/AP549</f>
        <v>1.1590775574138255E-3</v>
      </c>
      <c r="AS550" s="25"/>
      <c r="AT550" s="25"/>
      <c r="AU550" s="24"/>
      <c r="AV550" s="298">
        <f t="shared" ref="AV550" si="3141">+AP550/H550</f>
        <v>0.79626263001428321</v>
      </c>
      <c r="AW550" s="298"/>
      <c r="AX550" s="24">
        <f t="shared" ref="AX550" si="3142">+AP550/BW550</f>
        <v>58887.018484288354</v>
      </c>
      <c r="AY550" s="308"/>
      <c r="AZ550" s="111"/>
      <c r="BA550" s="65">
        <f t="shared" ref="BA550" si="3143">+BC550-BC549</f>
        <v>2261409</v>
      </c>
      <c r="BB550" s="66"/>
      <c r="BC550" s="66">
        <v>605055442</v>
      </c>
      <c r="BD550" s="66"/>
      <c r="BE550" s="66">
        <f t="shared" ref="BE550" si="3144">+D550</f>
        <v>72088</v>
      </c>
      <c r="BF550" s="66"/>
      <c r="BG550" s="144">
        <f t="shared" ref="BG550" si="3145">+BE550/BA550</f>
        <v>3.1877471081082638E-2</v>
      </c>
      <c r="BH550" s="66"/>
      <c r="BI550" s="170"/>
      <c r="BJ550" s="66"/>
      <c r="BK550" s="66">
        <f t="shared" ref="BK550" si="3146">SUM(BA544:BA550)</f>
        <v>13545437</v>
      </c>
      <c r="BL550" s="66"/>
      <c r="BM550" s="144">
        <f t="shared" ref="BM550" si="3147">+Q550/BK550</f>
        <v>5.5570447819439123E-2</v>
      </c>
      <c r="BN550" s="65">
        <f t="shared" ref="BN550" si="3148">+BC550/BW550</f>
        <v>1118401.9260628466</v>
      </c>
      <c r="BO550" s="66"/>
      <c r="BP550" s="66">
        <f t="shared" ref="BP550" si="3149">+BP549+BE550</f>
        <v>39102280</v>
      </c>
      <c r="BQ550" s="66"/>
      <c r="BR550" s="435">
        <f t="shared" ref="BR550" si="3150">+BP550/BC550</f>
        <v>6.4625945468316279E-2</v>
      </c>
      <c r="BS550" s="66"/>
      <c r="BT550" s="75"/>
      <c r="BU550" s="170"/>
      <c r="BV550" s="1"/>
      <c r="BW550" s="61">
        <f t="shared" si="1175"/>
        <v>541</v>
      </c>
    </row>
    <row r="551" spans="2:85" x14ac:dyDescent="0.3">
      <c r="B551" s="347">
        <f t="shared" si="2350"/>
        <v>44451</v>
      </c>
      <c r="C551" s="61"/>
      <c r="D551" s="17">
        <v>35450</v>
      </c>
      <c r="E551" s="16"/>
      <c r="F551" s="16"/>
      <c r="G551" s="16"/>
      <c r="H551" s="16">
        <f t="shared" ref="H551" si="3151">+H550+D551</f>
        <v>40044708</v>
      </c>
      <c r="I551" s="16"/>
      <c r="J551" s="436">
        <f t="shared" ref="J551" si="3152">+D551/H550</f>
        <v>8.8604492490213145E-4</v>
      </c>
      <c r="K551" s="16"/>
      <c r="L551" s="16"/>
      <c r="M551" s="16"/>
      <c r="N551" s="16">
        <f t="shared" ref="N551" si="3153">SUM(D545:D551)</f>
        <v>752590</v>
      </c>
      <c r="O551" s="16">
        <f t="shared" ref="O551" si="3154">+H551/BW551</f>
        <v>73883.225092250927</v>
      </c>
      <c r="P551" s="41"/>
      <c r="Q551" s="17">
        <f t="shared" ref="Q551" si="3155">SUM(D545:D551)</f>
        <v>752590</v>
      </c>
      <c r="R551" s="16"/>
      <c r="S551" s="60">
        <f t="shared" ref="S551" si="3156">+(Q551-Q544)/Q544</f>
        <v>-0.17943165673924966</v>
      </c>
      <c r="T551" s="16"/>
      <c r="U551" s="41"/>
      <c r="V551" s="10">
        <f t="shared" si="349"/>
        <v>443</v>
      </c>
      <c r="W551" s="34">
        <v>251</v>
      </c>
      <c r="X551" s="33">
        <v>4256</v>
      </c>
      <c r="Y551" s="33"/>
      <c r="Z551" s="33">
        <f t="shared" ref="Z551" si="3157">SUM(W546:W551)</f>
        <v>7279</v>
      </c>
      <c r="AA551" s="33">
        <f t="shared" ref="AA551" si="3158">+AA550+W551</f>
        <v>646308</v>
      </c>
      <c r="AB551" s="33"/>
      <c r="AC551" s="46">
        <f t="shared" ref="AC551" si="3159">+AA551/H551</f>
        <v>1.6139660701234231E-2</v>
      </c>
      <c r="AD551" s="33"/>
      <c r="AE551" s="33">
        <f t="shared" ref="AE551" si="3160">+AA551/BW551</f>
        <v>1192.4501845018451</v>
      </c>
      <c r="AF551" s="50"/>
      <c r="AG551" s="33">
        <f t="shared" ref="AG551" si="3161">SUM(W545:W551)</f>
        <v>7515</v>
      </c>
      <c r="AH551" s="33">
        <f t="shared" ref="AH551" si="3162">SUM(D522:D994)</f>
        <v>1119587097.060914</v>
      </c>
      <c r="AI551" s="213">
        <f t="shared" ref="AI551" si="3163">+(AG551-AG544)/AG544</f>
        <v>2.4539877300613498E-2</v>
      </c>
      <c r="AJ551" s="50"/>
      <c r="AK551" s="111"/>
      <c r="AL551" s="23">
        <f t="shared" ref="AL551" si="3164">+AP551-AP550</f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61">
        <f t="shared" ref="AR551" si="3165">+AL551/AP550</f>
        <v>4.3916925161083394E-4</v>
      </c>
      <c r="AS551" s="25"/>
      <c r="AT551" s="25"/>
      <c r="AU551" s="24"/>
      <c r="AV551" s="298">
        <f t="shared" ref="AV551" si="3166">+AP551/H551</f>
        <v>0.79590711461799146</v>
      </c>
      <c r="AW551" s="298"/>
      <c r="AX551" s="24">
        <f t="shared" ref="AX551" si="3167">+AP551/BW551</f>
        <v>58804.184501845019</v>
      </c>
      <c r="AY551" s="308"/>
      <c r="AZ551" s="111"/>
      <c r="BA551" s="65">
        <f t="shared" ref="BA551" si="3168">+BC551-BC550</f>
        <v>1143410</v>
      </c>
      <c r="BB551" s="66"/>
      <c r="BC551" s="66">
        <v>606198852</v>
      </c>
      <c r="BD551" s="66"/>
      <c r="BE551" s="66">
        <f t="shared" ref="BE551" si="3169">+D551</f>
        <v>35450</v>
      </c>
      <c r="BF551" s="66"/>
      <c r="BG551" s="144">
        <f t="shared" ref="BG551" si="3170">+BE551/BA551</f>
        <v>3.1003751935001444E-2</v>
      </c>
      <c r="BH551" s="66"/>
      <c r="BI551" s="170"/>
      <c r="BJ551" s="66"/>
      <c r="BK551" s="66">
        <f t="shared" ref="BK551" si="3171">SUM(BA545:BA551)</f>
        <v>13781108</v>
      </c>
      <c r="BL551" s="66"/>
      <c r="BM551" s="144">
        <f t="shared" ref="BM551" si="3172">+Q551/BK551</f>
        <v>5.4610267911694765E-2</v>
      </c>
      <c r="BN551" s="65">
        <f t="shared" ref="BN551" si="3173">+BC551/BW551</f>
        <v>1118448.0664206643</v>
      </c>
      <c r="BO551" s="66"/>
      <c r="BP551" s="66">
        <f t="shared" ref="BP551" si="3174">+BP550+BE551</f>
        <v>39137730</v>
      </c>
      <c r="BQ551" s="66"/>
      <c r="BR551" s="435">
        <f t="shared" ref="BR551" si="3175">+BP551/BC551</f>
        <v>6.4562527413034435E-2</v>
      </c>
      <c r="BS551" s="66"/>
      <c r="BT551" s="75"/>
      <c r="BU551" s="170"/>
      <c r="BV551" s="1"/>
      <c r="BW551" s="61">
        <f t="shared" si="1175"/>
        <v>542</v>
      </c>
    </row>
    <row r="552" spans="2:85" x14ac:dyDescent="0.3">
      <c r="B552" s="158">
        <f t="shared" si="2350"/>
        <v>44452</v>
      </c>
      <c r="C552" s="61"/>
      <c r="D552" s="17"/>
      <c r="E552" s="16"/>
      <c r="F552" s="16"/>
      <c r="G552" s="16"/>
      <c r="H552" s="16"/>
      <c r="I552" s="16"/>
      <c r="J552" s="436"/>
      <c r="K552" s="16"/>
      <c r="L552" s="16"/>
      <c r="M552" s="16"/>
      <c r="N552" s="16"/>
      <c r="O552" s="16"/>
      <c r="P552" s="41"/>
      <c r="Q552" s="17"/>
      <c r="R552" s="16"/>
      <c r="S552" s="60"/>
      <c r="T552" s="16"/>
      <c r="U552" s="41"/>
      <c r="V552" s="10"/>
      <c r="W552" s="34"/>
      <c r="X552" s="33"/>
      <c r="Y552" s="33"/>
      <c r="Z552" s="33"/>
      <c r="AA552" s="33"/>
      <c r="AB552" s="33"/>
      <c r="AC552" s="46"/>
      <c r="AD552" s="33"/>
      <c r="AE552" s="33"/>
      <c r="AF552" s="50"/>
      <c r="AG552" s="33"/>
      <c r="AH552" s="33"/>
      <c r="AI552" s="213"/>
      <c r="AJ552" s="50"/>
      <c r="AK552" s="111"/>
      <c r="AL552" s="23"/>
      <c r="AM552" s="24"/>
      <c r="AN552" s="24"/>
      <c r="AO552" s="24"/>
      <c r="AP552" s="24"/>
      <c r="AQ552" s="24"/>
      <c r="AR552" s="461"/>
      <c r="AS552" s="25"/>
      <c r="AT552" s="25"/>
      <c r="AU552" s="24"/>
      <c r="AV552" s="298"/>
      <c r="AW552" s="298"/>
      <c r="AX552" s="24"/>
      <c r="AY552" s="308"/>
      <c r="AZ552" s="111"/>
      <c r="BA552" s="65"/>
      <c r="BB552" s="66"/>
      <c r="BC552" s="66"/>
      <c r="BD552" s="66"/>
      <c r="BE552" s="66"/>
      <c r="BF552" s="66"/>
      <c r="BG552" s="144"/>
      <c r="BH552" s="66"/>
      <c r="BI552" s="170"/>
      <c r="BJ552" s="66"/>
      <c r="BK552" s="66"/>
      <c r="BL552" s="66"/>
      <c r="BM552" s="144"/>
      <c r="BN552" s="65"/>
      <c r="BO552" s="66"/>
      <c r="BP552" s="66"/>
      <c r="BQ552" s="66"/>
      <c r="BR552" s="435"/>
      <c r="BS552" s="66"/>
      <c r="BT552" s="75"/>
      <c r="BU552" s="170"/>
      <c r="BV552" s="1"/>
      <c r="BW552" s="61"/>
    </row>
    <row r="553" spans="2:85" x14ac:dyDescent="0.3">
      <c r="B553" s="158">
        <f t="shared" si="2350"/>
        <v>44453</v>
      </c>
      <c r="C553" s="61"/>
      <c r="D553" s="17"/>
      <c r="E553" s="16"/>
      <c r="F553" s="16"/>
      <c r="G553" s="16"/>
      <c r="H553" s="16"/>
      <c r="I553" s="16"/>
      <c r="J553" s="436"/>
      <c r="K553" s="16"/>
      <c r="L553" s="16"/>
      <c r="M553" s="16"/>
      <c r="N553" s="16"/>
      <c r="O553" s="16"/>
      <c r="P553" s="41"/>
      <c r="Q553" s="17"/>
      <c r="R553" s="16"/>
      <c r="S553" s="60"/>
      <c r="T553" s="16"/>
      <c r="U553" s="41"/>
      <c r="V553" s="10"/>
      <c r="W553" s="34"/>
      <c r="X553" s="33"/>
      <c r="Y553" s="33"/>
      <c r="Z553" s="33"/>
      <c r="AA553" s="33"/>
      <c r="AB553" s="33"/>
      <c r="AC553" s="46"/>
      <c r="AD553" s="33"/>
      <c r="AE553" s="33"/>
      <c r="AF553" s="50"/>
      <c r="AG553" s="33"/>
      <c r="AH553" s="33"/>
      <c r="AI553" s="213"/>
      <c r="AJ553" s="50"/>
      <c r="AK553" s="111"/>
      <c r="AL553" s="23"/>
      <c r="AM553" s="24"/>
      <c r="AN553" s="24"/>
      <c r="AO553" s="24"/>
      <c r="AP553" s="24"/>
      <c r="AQ553" s="24"/>
      <c r="AR553" s="461"/>
      <c r="AS553" s="25"/>
      <c r="AT553" s="25"/>
      <c r="AU553" s="24"/>
      <c r="AV553" s="298"/>
      <c r="AW553" s="298"/>
      <c r="AX553" s="24"/>
      <c r="AY553" s="308"/>
      <c r="AZ553" s="111"/>
      <c r="BA553" s="65"/>
      <c r="BB553" s="66"/>
      <c r="BC553" s="66"/>
      <c r="BD553" s="66"/>
      <c r="BE553" s="66"/>
      <c r="BF553" s="66"/>
      <c r="BG553" s="144"/>
      <c r="BH553" s="66"/>
      <c r="BI553" s="170"/>
      <c r="BJ553" s="66"/>
      <c r="BK553" s="66"/>
      <c r="BL553" s="66"/>
      <c r="BM553" s="144"/>
      <c r="BN553" s="65"/>
      <c r="BO553" s="66"/>
      <c r="BP553" s="66"/>
      <c r="BQ553" s="66"/>
      <c r="BR553" s="435"/>
      <c r="BS553" s="66"/>
      <c r="BT553" s="75"/>
      <c r="BU553" s="170"/>
      <c r="BV553" s="1"/>
      <c r="BW553" s="61"/>
    </row>
    <row r="554" spans="2:85" x14ac:dyDescent="0.3">
      <c r="B554" s="158">
        <f t="shared" si="2350"/>
        <v>44454</v>
      </c>
      <c r="C554" s="61"/>
      <c r="D554" s="17"/>
      <c r="E554" s="16"/>
      <c r="F554" s="16"/>
      <c r="G554" s="16"/>
      <c r="H554" s="16"/>
      <c r="I554" s="16"/>
      <c r="J554" s="436"/>
      <c r="K554" s="16"/>
      <c r="L554" s="16"/>
      <c r="M554" s="16"/>
      <c r="N554" s="16"/>
      <c r="O554" s="16"/>
      <c r="P554" s="41"/>
      <c r="Q554" s="17"/>
      <c r="R554" s="16"/>
      <c r="S554" s="60"/>
      <c r="T554" s="16"/>
      <c r="U554" s="41"/>
      <c r="V554" s="10"/>
      <c r="W554" s="34"/>
      <c r="X554" s="33"/>
      <c r="Y554" s="33"/>
      <c r="Z554" s="33"/>
      <c r="AA554" s="33"/>
      <c r="AB554" s="33"/>
      <c r="AC554" s="46"/>
      <c r="AD554" s="33"/>
      <c r="AE554" s="33"/>
      <c r="AF554" s="50"/>
      <c r="AG554" s="33"/>
      <c r="AH554" s="33"/>
      <c r="AI554" s="213"/>
      <c r="AJ554" s="50"/>
      <c r="AK554" s="111"/>
      <c r="AL554" s="23"/>
      <c r="AM554" s="24"/>
      <c r="AN554" s="24"/>
      <c r="AO554" s="24"/>
      <c r="AP554" s="24"/>
      <c r="AQ554" s="24"/>
      <c r="AR554" s="461"/>
      <c r="AS554" s="25"/>
      <c r="AT554" s="25"/>
      <c r="AU554" s="24"/>
      <c r="AV554" s="298"/>
      <c r="AW554" s="298"/>
      <c r="AX554" s="24"/>
      <c r="AY554" s="308"/>
      <c r="AZ554" s="111"/>
      <c r="BA554" s="65"/>
      <c r="BB554" s="66"/>
      <c r="BC554" s="66"/>
      <c r="BD554" s="66"/>
      <c r="BE554" s="66"/>
      <c r="BF554" s="66"/>
      <c r="BG554" s="144"/>
      <c r="BH554" s="66"/>
      <c r="BI554" s="170"/>
      <c r="BJ554" s="66"/>
      <c r="BK554" s="66"/>
      <c r="BL554" s="66"/>
      <c r="BM554" s="144"/>
      <c r="BN554" s="65"/>
      <c r="BO554" s="66"/>
      <c r="BP554" s="66"/>
      <c r="BQ554" s="66"/>
      <c r="BR554" s="435"/>
      <c r="BS554" s="66"/>
      <c r="BT554" s="75"/>
      <c r="BU554" s="170"/>
      <c r="BV554" s="1"/>
      <c r="BW554" s="61"/>
    </row>
    <row r="555" spans="2:85" x14ac:dyDescent="0.3">
      <c r="B555" s="158">
        <f t="shared" si="2350"/>
        <v>44455</v>
      </c>
      <c r="C555" s="61"/>
      <c r="D555" s="17"/>
      <c r="E555" s="16"/>
      <c r="F555" s="16"/>
      <c r="G555" s="16"/>
      <c r="H555" s="16"/>
      <c r="I555" s="16"/>
      <c r="J555" s="436"/>
      <c r="K555" s="16"/>
      <c r="L555" s="16"/>
      <c r="M555" s="16"/>
      <c r="N555" s="16"/>
      <c r="O555" s="16"/>
      <c r="P555" s="41"/>
      <c r="Q555" s="410"/>
      <c r="R555" s="16"/>
      <c r="S555" s="60"/>
      <c r="T555" s="16"/>
      <c r="U555" s="41"/>
      <c r="V555" s="10"/>
      <c r="W555" s="34"/>
      <c r="X555" s="33"/>
      <c r="Y555" s="33"/>
      <c r="Z555" s="33"/>
      <c r="AA555" s="33"/>
      <c r="AB555" s="33"/>
      <c r="AC555" s="46"/>
      <c r="AD555" s="33"/>
      <c r="AE555" s="33"/>
      <c r="AF555" s="50"/>
      <c r="AG555" s="33"/>
      <c r="AH555" s="33"/>
      <c r="AI555" s="213"/>
      <c r="AJ555" s="50"/>
      <c r="AK555" s="10"/>
      <c r="AL555" s="23"/>
      <c r="AM555" s="24"/>
      <c r="AN555" s="24"/>
      <c r="AO555" s="24"/>
      <c r="AP555" s="24"/>
      <c r="AQ555" s="24"/>
      <c r="AR555" s="461"/>
      <c r="AS555" s="25"/>
      <c r="AT555" s="25"/>
      <c r="AU555" s="24"/>
      <c r="AV555" s="298"/>
      <c r="AW555" s="298"/>
      <c r="AX555" s="24"/>
      <c r="AY555" s="308"/>
      <c r="AZ555" s="10"/>
      <c r="BA555" s="65"/>
      <c r="BB555" s="66"/>
      <c r="BC555" s="66"/>
      <c r="BD555" s="66"/>
      <c r="BE555" s="66"/>
      <c r="BF555" s="66"/>
      <c r="BG555" s="144"/>
      <c r="BH555" s="66"/>
      <c r="BI555" s="170"/>
      <c r="BJ555" s="66"/>
      <c r="BK555" s="66"/>
      <c r="BL555" s="66"/>
      <c r="BM555" s="144"/>
      <c r="BN555" s="65"/>
      <c r="BO555" s="66"/>
      <c r="BP555" s="66"/>
      <c r="BQ555" s="66"/>
      <c r="BR555" s="435"/>
      <c r="BS555" s="66"/>
      <c r="BT555" s="75"/>
      <c r="BU555" s="170"/>
      <c r="BV555" s="1"/>
      <c r="BW555" s="61"/>
    </row>
    <row r="556" spans="2:85" x14ac:dyDescent="0.3">
      <c r="B556" s="158">
        <f t="shared" si="2350"/>
        <v>44456</v>
      </c>
      <c r="D556" s="559"/>
      <c r="E556" s="19"/>
      <c r="F556" s="19"/>
      <c r="G556" s="19"/>
      <c r="H556" s="19"/>
      <c r="I556" s="19"/>
      <c r="J556" s="39"/>
      <c r="K556" s="19"/>
      <c r="L556" s="19"/>
      <c r="M556" s="19"/>
      <c r="N556" s="19"/>
      <c r="O556" s="19"/>
      <c r="P556" s="43"/>
      <c r="Q556" s="18"/>
      <c r="R556" s="19"/>
      <c r="S556" s="19"/>
      <c r="T556" s="19"/>
      <c r="U556" s="43"/>
      <c r="V556" s="1"/>
      <c r="W556" s="35"/>
      <c r="X556" s="36"/>
      <c r="Y556" s="36"/>
      <c r="Z556" s="36"/>
      <c r="AA556" s="36"/>
      <c r="AB556" s="36"/>
      <c r="AC556" s="47"/>
      <c r="AD556" s="36"/>
      <c r="AE556" s="36"/>
      <c r="AF556" s="51"/>
      <c r="AG556" s="36"/>
      <c r="AH556" s="36"/>
      <c r="AI556" s="36"/>
      <c r="AJ556" s="51"/>
      <c r="AK556" s="1"/>
      <c r="AL556" s="26"/>
      <c r="AM556" s="27"/>
      <c r="AN556" s="27"/>
      <c r="AO556" s="27"/>
      <c r="AP556" s="27"/>
      <c r="AQ556" s="27"/>
      <c r="AR556" s="27"/>
      <c r="AS556" s="27"/>
      <c r="AT556" s="27"/>
      <c r="AU556" s="27"/>
      <c r="AV556" s="300"/>
      <c r="AW556" s="300"/>
      <c r="AX556" s="27"/>
      <c r="AY556" s="307"/>
      <c r="AZ556" s="1"/>
      <c r="BA556" s="67"/>
      <c r="BB556" s="68"/>
      <c r="BC556" s="68"/>
      <c r="BD556" s="68"/>
      <c r="BE556" s="68"/>
      <c r="BF556" s="68"/>
      <c r="BG556" s="68"/>
      <c r="BH556" s="68"/>
      <c r="BI556" s="171"/>
      <c r="BJ556" s="68"/>
      <c r="BK556" s="68"/>
      <c r="BL556" s="68"/>
      <c r="BM556" s="68"/>
      <c r="BN556" s="67"/>
      <c r="BO556" s="68"/>
      <c r="BP556" s="68"/>
      <c r="BQ556" s="68"/>
      <c r="BR556" s="70"/>
      <c r="BS556" s="68"/>
      <c r="BT556" s="68"/>
      <c r="BU556" s="171"/>
      <c r="BV556" s="1"/>
      <c r="BW556" s="61">
        <f>+BW461+1</f>
        <v>453</v>
      </c>
    </row>
    <row r="557" spans="2:85" x14ac:dyDescent="0.3">
      <c r="B557" s="56"/>
      <c r="D557" s="1"/>
      <c r="E557" s="1"/>
      <c r="F557" s="1"/>
      <c r="G557" s="1"/>
      <c r="H557" s="59"/>
      <c r="I557" s="1"/>
      <c r="J557" s="59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59"/>
      <c r="X557" s="1"/>
      <c r="Y557" s="1"/>
      <c r="Z557" s="1"/>
      <c r="AA557" s="1"/>
      <c r="AB557" s="1"/>
      <c r="AC557" s="59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59"/>
      <c r="BD557" s="1"/>
      <c r="BE557" s="59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</row>
    <row r="558" spans="2:85" x14ac:dyDescent="0.3">
      <c r="B558" s="166" t="s">
        <v>74</v>
      </c>
      <c r="D558" s="56">
        <f>+D551</f>
        <v>35450</v>
      </c>
      <c r="E558" s="56">
        <f>+E238</f>
        <v>0</v>
      </c>
      <c r="F558" s="56">
        <f>+F238</f>
        <v>0</v>
      </c>
      <c r="G558" s="56">
        <f>+G238</f>
        <v>0</v>
      </c>
      <c r="H558" s="56">
        <f t="shared" ref="H558:BP558" si="3176">+H551</f>
        <v>40044708</v>
      </c>
      <c r="I558" s="56">
        <f t="shared" si="3176"/>
        <v>0</v>
      </c>
      <c r="J558" s="56">
        <f t="shared" si="3176"/>
        <v>8.8604492490213145E-4</v>
      </c>
      <c r="K558" s="56">
        <f t="shared" si="3176"/>
        <v>0</v>
      </c>
      <c r="L558" s="56">
        <f t="shared" si="3176"/>
        <v>0</v>
      </c>
      <c r="M558" s="56">
        <f t="shared" si="3176"/>
        <v>0</v>
      </c>
      <c r="N558" s="56">
        <f t="shared" si="3176"/>
        <v>752590</v>
      </c>
      <c r="O558" s="56">
        <f t="shared" si="3176"/>
        <v>73883.225092250927</v>
      </c>
      <c r="P558" s="56">
        <f t="shared" si="3176"/>
        <v>0</v>
      </c>
      <c r="Q558" s="56">
        <f t="shared" si="3176"/>
        <v>752590</v>
      </c>
      <c r="R558" s="56">
        <f t="shared" si="3176"/>
        <v>0</v>
      </c>
      <c r="S558" s="56">
        <f t="shared" si="3176"/>
        <v>-0.17943165673924966</v>
      </c>
      <c r="T558" s="56">
        <f t="shared" si="3176"/>
        <v>0</v>
      </c>
      <c r="U558" s="56">
        <f t="shared" si="3176"/>
        <v>0</v>
      </c>
      <c r="V558" s="56">
        <f t="shared" si="3176"/>
        <v>443</v>
      </c>
      <c r="W558" s="56">
        <f t="shared" si="3176"/>
        <v>251</v>
      </c>
      <c r="X558" s="56">
        <f t="shared" si="3176"/>
        <v>4256</v>
      </c>
      <c r="Y558" s="56">
        <f t="shared" si="3176"/>
        <v>0</v>
      </c>
      <c r="Z558" s="56">
        <f t="shared" si="3176"/>
        <v>7279</v>
      </c>
      <c r="AA558" s="56">
        <f t="shared" si="3176"/>
        <v>646308</v>
      </c>
      <c r="AB558" s="56">
        <f t="shared" si="3176"/>
        <v>0</v>
      </c>
      <c r="AC558" s="56">
        <f t="shared" si="3176"/>
        <v>1.6139660701234231E-2</v>
      </c>
      <c r="AD558" s="56">
        <f t="shared" si="3176"/>
        <v>0</v>
      </c>
      <c r="AE558" s="56">
        <f t="shared" si="3176"/>
        <v>1192.4501845018451</v>
      </c>
      <c r="AF558" s="56">
        <f t="shared" si="3176"/>
        <v>0</v>
      </c>
      <c r="AG558" s="56">
        <f t="shared" si="3176"/>
        <v>7515</v>
      </c>
      <c r="AH558" s="56">
        <f t="shared" si="3176"/>
        <v>1119587097.060914</v>
      </c>
      <c r="AI558" s="56">
        <f t="shared" si="3176"/>
        <v>2.4539877300613498E-2</v>
      </c>
      <c r="AJ558" s="56">
        <f t="shared" si="3176"/>
        <v>0</v>
      </c>
      <c r="AK558" s="56">
        <f t="shared" si="3176"/>
        <v>0</v>
      </c>
      <c r="AL558" s="56">
        <f t="shared" si="3176"/>
        <v>13991</v>
      </c>
      <c r="AM558" s="56">
        <f t="shared" si="3176"/>
        <v>0</v>
      </c>
      <c r="AN558" s="56">
        <f t="shared" si="3176"/>
        <v>0</v>
      </c>
      <c r="AO558" s="56">
        <f t="shared" si="3176"/>
        <v>178263</v>
      </c>
      <c r="AP558" s="56">
        <f t="shared" si="3176"/>
        <v>31871868</v>
      </c>
      <c r="AQ558" s="56">
        <f t="shared" si="3176"/>
        <v>20336656</v>
      </c>
      <c r="AR558" s="56">
        <f t="shared" si="3176"/>
        <v>4.3916925161083394E-4</v>
      </c>
      <c r="AS558" s="56">
        <f t="shared" si="3176"/>
        <v>0</v>
      </c>
      <c r="AT558" s="56">
        <f t="shared" si="3176"/>
        <v>0</v>
      </c>
      <c r="AU558" s="56">
        <f t="shared" si="3176"/>
        <v>0</v>
      </c>
      <c r="AV558" s="56">
        <f t="shared" si="3176"/>
        <v>0.79590711461799146</v>
      </c>
      <c r="AW558" s="56">
        <f t="shared" si="3176"/>
        <v>0</v>
      </c>
      <c r="AX558" s="56">
        <f t="shared" si="3176"/>
        <v>58804.184501845019</v>
      </c>
      <c r="AY558" s="56">
        <f t="shared" si="3176"/>
        <v>0</v>
      </c>
      <c r="AZ558" s="56">
        <f t="shared" si="3176"/>
        <v>0</v>
      </c>
      <c r="BA558" s="56">
        <f t="shared" si="3176"/>
        <v>1143410</v>
      </c>
      <c r="BB558" s="56">
        <f t="shared" si="3176"/>
        <v>0</v>
      </c>
      <c r="BC558" s="56">
        <f t="shared" si="3176"/>
        <v>606198852</v>
      </c>
      <c r="BD558" s="56">
        <f t="shared" si="3176"/>
        <v>0</v>
      </c>
      <c r="BE558" s="56">
        <f t="shared" si="3176"/>
        <v>35450</v>
      </c>
      <c r="BF558" s="56">
        <f t="shared" si="3176"/>
        <v>0</v>
      </c>
      <c r="BG558" s="56">
        <f t="shared" si="3176"/>
        <v>3.1003751935001444E-2</v>
      </c>
      <c r="BH558" s="56">
        <f t="shared" si="3176"/>
        <v>0</v>
      </c>
      <c r="BI558" s="56">
        <f t="shared" si="3176"/>
        <v>0</v>
      </c>
      <c r="BJ558" s="56">
        <f t="shared" si="3176"/>
        <v>0</v>
      </c>
      <c r="BK558" s="56">
        <f t="shared" si="3176"/>
        <v>13781108</v>
      </c>
      <c r="BL558" s="56">
        <f t="shared" si="3176"/>
        <v>0</v>
      </c>
      <c r="BM558" s="56">
        <f t="shared" si="3176"/>
        <v>5.4610267911694765E-2</v>
      </c>
      <c r="BN558" s="56">
        <f t="shared" si="3176"/>
        <v>1118448.0664206643</v>
      </c>
      <c r="BO558" s="56">
        <f t="shared" si="3176"/>
        <v>0</v>
      </c>
      <c r="BP558" s="56">
        <f t="shared" si="3176"/>
        <v>39137730</v>
      </c>
      <c r="BQ558" s="56">
        <f>+BQ530</f>
        <v>0</v>
      </c>
      <c r="BR558" s="56"/>
      <c r="BS558" s="56"/>
      <c r="BT558" s="56"/>
      <c r="BU558" s="56">
        <f>+BU509</f>
        <v>0</v>
      </c>
      <c r="BV558" s="56">
        <f>+BV505</f>
        <v>0</v>
      </c>
      <c r="BW558" s="56"/>
      <c r="BX558" s="56"/>
      <c r="BY558" s="56"/>
      <c r="BZ558" s="56"/>
      <c r="CA558" s="56"/>
      <c r="CB558" s="56"/>
      <c r="CC558" s="56"/>
      <c r="CD558" s="56"/>
      <c r="CE558" s="61"/>
      <c r="CF558" s="61"/>
      <c r="CG558" s="145"/>
    </row>
    <row r="559" spans="2:85" x14ac:dyDescent="0.3">
      <c r="B559" t="s">
        <v>105</v>
      </c>
      <c r="D559" s="56">
        <f>+D550-D558</f>
        <v>36638</v>
      </c>
      <c r="E559" s="56">
        <f>+E237-E558</f>
        <v>0</v>
      </c>
      <c r="F559" s="56">
        <f>+F237-F558</f>
        <v>0</v>
      </c>
      <c r="G559" s="56">
        <f>+G237-G558</f>
        <v>0</v>
      </c>
      <c r="H559" s="56">
        <f t="shared" ref="H559:BP559" si="3177">+H550-H558</f>
        <v>-35450</v>
      </c>
      <c r="I559" s="56">
        <f t="shared" si="3177"/>
        <v>0</v>
      </c>
      <c r="J559" s="56">
        <f t="shared" si="3177"/>
        <v>9.1899033423115215E-4</v>
      </c>
      <c r="K559" s="56">
        <f t="shared" si="3177"/>
        <v>0</v>
      </c>
      <c r="L559" s="56">
        <f t="shared" si="3177"/>
        <v>0</v>
      </c>
      <c r="M559" s="56">
        <f t="shared" si="3177"/>
        <v>0</v>
      </c>
      <c r="N559" s="56">
        <f t="shared" si="3177"/>
        <v>136</v>
      </c>
      <c r="O559" s="56">
        <f t="shared" si="3177"/>
        <v>71.041081501389272</v>
      </c>
      <c r="P559" s="56">
        <f t="shared" si="3177"/>
        <v>0</v>
      </c>
      <c r="Q559" s="56">
        <f t="shared" si="3177"/>
        <v>136</v>
      </c>
      <c r="R559" s="56">
        <f t="shared" si="3177"/>
        <v>0</v>
      </c>
      <c r="S559" s="56">
        <f t="shared" si="3177"/>
        <v>-1.3487462284278162E-3</v>
      </c>
      <c r="T559" s="56">
        <f t="shared" si="3177"/>
        <v>0</v>
      </c>
      <c r="U559" s="56">
        <f t="shared" si="3177"/>
        <v>0</v>
      </c>
      <c r="V559" s="56">
        <f t="shared" si="3177"/>
        <v>-1</v>
      </c>
      <c r="W559" s="56">
        <f t="shared" si="3177"/>
        <v>468</v>
      </c>
      <c r="X559" s="56">
        <f t="shared" si="3177"/>
        <v>0</v>
      </c>
      <c r="Y559" s="56">
        <f t="shared" si="3177"/>
        <v>0</v>
      </c>
      <c r="Z559" s="56">
        <f t="shared" si="3177"/>
        <v>-15</v>
      </c>
      <c r="AA559" s="56">
        <f t="shared" si="3177"/>
        <v>-251</v>
      </c>
      <c r="AB559" s="56">
        <f t="shared" si="3177"/>
        <v>0</v>
      </c>
      <c r="AC559" s="56">
        <f t="shared" si="3177"/>
        <v>8.0269164666538217E-6</v>
      </c>
      <c r="AD559" s="56">
        <f t="shared" si="3177"/>
        <v>0</v>
      </c>
      <c r="AE559" s="56">
        <f t="shared" si="3177"/>
        <v>1.7402036682103699</v>
      </c>
      <c r="AF559" s="56">
        <f t="shared" si="3177"/>
        <v>0</v>
      </c>
      <c r="AG559" s="56">
        <f t="shared" si="3177"/>
        <v>116</v>
      </c>
      <c r="AH559" s="56">
        <f t="shared" si="3177"/>
        <v>155297</v>
      </c>
      <c r="AI559" s="56">
        <f t="shared" si="3177"/>
        <v>2.7721567817974479E-2</v>
      </c>
      <c r="AJ559" s="56">
        <f t="shared" si="3177"/>
        <v>0</v>
      </c>
      <c r="AK559" s="56">
        <f t="shared" si="3177"/>
        <v>0</v>
      </c>
      <c r="AL559" s="56">
        <f t="shared" si="3177"/>
        <v>22892</v>
      </c>
      <c r="AM559" s="56">
        <f t="shared" si="3177"/>
        <v>0</v>
      </c>
      <c r="AN559" s="56">
        <f t="shared" si="3177"/>
        <v>0</v>
      </c>
      <c r="AO559" s="56">
        <f t="shared" si="3177"/>
        <v>0</v>
      </c>
      <c r="AP559" s="56">
        <f t="shared" si="3177"/>
        <v>-13991</v>
      </c>
      <c r="AQ559" s="56">
        <f t="shared" si="3177"/>
        <v>0</v>
      </c>
      <c r="AR559" s="56">
        <f t="shared" si="3177"/>
        <v>7.1990830580299155E-4</v>
      </c>
      <c r="AS559" s="56">
        <f t="shared" si="3177"/>
        <v>0</v>
      </c>
      <c r="AT559" s="56">
        <f t="shared" si="3177"/>
        <v>0</v>
      </c>
      <c r="AU559" s="56">
        <f t="shared" si="3177"/>
        <v>0</v>
      </c>
      <c r="AV559" s="56">
        <f t="shared" si="3177"/>
        <v>3.5551539629175011E-4</v>
      </c>
      <c r="AW559" s="56">
        <f t="shared" si="3177"/>
        <v>0</v>
      </c>
      <c r="AX559" s="56">
        <f t="shared" si="3177"/>
        <v>82.833982443335117</v>
      </c>
      <c r="AY559" s="56">
        <f t="shared" si="3177"/>
        <v>0</v>
      </c>
      <c r="AZ559" s="56">
        <f t="shared" si="3177"/>
        <v>0</v>
      </c>
      <c r="BA559" s="56">
        <f t="shared" si="3177"/>
        <v>1117999</v>
      </c>
      <c r="BB559" s="56">
        <f t="shared" si="3177"/>
        <v>0</v>
      </c>
      <c r="BC559" s="56">
        <f t="shared" si="3177"/>
        <v>-1143410</v>
      </c>
      <c r="BD559" s="56">
        <f t="shared" si="3177"/>
        <v>0</v>
      </c>
      <c r="BE559" s="56">
        <f t="shared" si="3177"/>
        <v>36638</v>
      </c>
      <c r="BF559" s="56">
        <f t="shared" si="3177"/>
        <v>0</v>
      </c>
      <c r="BG559" s="56">
        <f t="shared" si="3177"/>
        <v>8.7371914608119425E-4</v>
      </c>
      <c r="BH559" s="56">
        <f t="shared" si="3177"/>
        <v>0</v>
      </c>
      <c r="BI559" s="56">
        <f t="shared" si="3177"/>
        <v>0</v>
      </c>
      <c r="BJ559" s="56">
        <f t="shared" si="3177"/>
        <v>0</v>
      </c>
      <c r="BK559" s="56">
        <f t="shared" si="3177"/>
        <v>-235671</v>
      </c>
      <c r="BL559" s="56">
        <f t="shared" si="3177"/>
        <v>0</v>
      </c>
      <c r="BM559" s="56">
        <f t="shared" si="3177"/>
        <v>9.6017990774435735E-4</v>
      </c>
      <c r="BN559" s="56">
        <f t="shared" si="3177"/>
        <v>-46.140357817756012</v>
      </c>
      <c r="BO559" s="56">
        <f t="shared" si="3177"/>
        <v>0</v>
      </c>
      <c r="BP559" s="56">
        <f t="shared" si="3177"/>
        <v>-35450</v>
      </c>
      <c r="BQ559" s="56">
        <f>+BQ529-BQ558</f>
        <v>0</v>
      </c>
      <c r="BR559" s="56"/>
      <c r="BS559" s="56"/>
      <c r="BT559" s="56"/>
      <c r="BU559" s="56">
        <f>+BU508-BU558</f>
        <v>0</v>
      </c>
      <c r="BV559" s="56">
        <f>+BV504-BV558</f>
        <v>0</v>
      </c>
      <c r="BW559" s="56"/>
      <c r="BX559" s="56"/>
      <c r="BY559" s="56"/>
      <c r="BZ559" s="56"/>
      <c r="CA559" s="56"/>
      <c r="CB559" s="56"/>
      <c r="CC559" s="56"/>
      <c r="CD559" s="56"/>
      <c r="CE559" s="61"/>
      <c r="CF559" s="61"/>
      <c r="CG559" s="105"/>
    </row>
    <row r="560" spans="2:85" x14ac:dyDescent="0.3">
      <c r="B560" s="56"/>
      <c r="D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10"/>
      <c r="BT560" s="10"/>
      <c r="BU560" s="10"/>
      <c r="BV560" s="10"/>
      <c r="BW560" s="10"/>
      <c r="BX560" s="10"/>
      <c r="BY560" s="10"/>
      <c r="BZ560" s="10"/>
      <c r="CA560" s="10"/>
      <c r="CB560" s="61"/>
      <c r="CC560" s="105"/>
      <c r="CD560" s="105"/>
      <c r="CE560" s="105"/>
      <c r="CF560" s="105"/>
    </row>
    <row r="561" spans="2:72" x14ac:dyDescent="0.3">
      <c r="B561" s="56"/>
      <c r="D561" s="56"/>
      <c r="H561" s="1"/>
      <c r="N561" s="145"/>
      <c r="O561" s="1"/>
      <c r="W561" s="56"/>
      <c r="AA561" s="59"/>
      <c r="BA561" s="59"/>
      <c r="BC561" s="56"/>
      <c r="BE561" s="59"/>
      <c r="BJ561" s="61"/>
      <c r="BK561" s="10">
        <f>+BK187</f>
        <v>4928581</v>
      </c>
      <c r="BL561" s="61"/>
      <c r="BM561" s="61"/>
      <c r="BN561" s="61"/>
      <c r="BO561" s="61"/>
      <c r="BP561" s="61"/>
      <c r="BQ561" s="61"/>
      <c r="BR561" s="61"/>
      <c r="BS561" s="10"/>
      <c r="BT561" s="10"/>
    </row>
    <row r="562" spans="2:72" x14ac:dyDescent="0.3">
      <c r="B562" s="56"/>
      <c r="D562" s="56"/>
      <c r="H562" s="56"/>
      <c r="N562" s="231"/>
      <c r="W562" s="56"/>
      <c r="AA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56"/>
      <c r="AU562" t="s">
        <v>161</v>
      </c>
      <c r="BC562" s="1"/>
      <c r="BE562" s="59"/>
      <c r="BH562" s="96"/>
      <c r="BI562" s="96"/>
      <c r="BJ562" s="96"/>
      <c r="BK562" s="493"/>
      <c r="BL562" s="96"/>
      <c r="BM562" s="96"/>
      <c r="BN562" s="96"/>
      <c r="BO562" s="96"/>
      <c r="BP562" s="96"/>
      <c r="BQ562" s="96"/>
      <c r="BR562" s="78"/>
      <c r="BS562" s="1"/>
      <c r="BT562" s="1"/>
    </row>
    <row r="563" spans="2:72" x14ac:dyDescent="0.3">
      <c r="D563" s="1"/>
      <c r="E563" s="111" t="s">
        <v>26</v>
      </c>
      <c r="F563" s="112"/>
      <c r="H563" s="112" t="s">
        <v>59</v>
      </c>
      <c r="I563" s="104"/>
      <c r="J563" s="104"/>
      <c r="K563" s="61"/>
      <c r="L563" s="10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BC563" s="56"/>
      <c r="BE563" s="59"/>
      <c r="BH563" s="96"/>
      <c r="BI563" s="96"/>
      <c r="BJ563" s="96"/>
      <c r="BK563" s="493">
        <f>+BK194-BK558</f>
        <v>-8017999</v>
      </c>
      <c r="BL563" s="96"/>
      <c r="BM563" s="96"/>
      <c r="BN563" s="96"/>
      <c r="BO563" s="96"/>
      <c r="BP563" s="96"/>
      <c r="BQ563" s="96"/>
      <c r="BR563" s="78"/>
      <c r="BS563" s="1"/>
      <c r="BT563" s="1"/>
    </row>
    <row r="564" spans="2:72" x14ac:dyDescent="0.3">
      <c r="B564" s="56"/>
      <c r="D564" s="1"/>
      <c r="E564" s="111" t="s">
        <v>38</v>
      </c>
      <c r="F564" s="112"/>
      <c r="H564" s="112" t="s">
        <v>40</v>
      </c>
      <c r="I564" s="10"/>
      <c r="J564" s="10"/>
      <c r="K564" s="61"/>
      <c r="L564" s="10"/>
      <c r="AD564" s="1"/>
      <c r="AE564" s="1"/>
      <c r="AF564" s="1"/>
      <c r="AG564" s="1"/>
      <c r="AH564" s="1"/>
      <c r="AI564" s="1">
        <f>SUM(W213:W243)</f>
        <v>25465</v>
      </c>
      <c r="AJ564" s="1"/>
      <c r="AK564" s="1"/>
      <c r="AL564" s="1" t="s">
        <v>17</v>
      </c>
      <c r="AM564" s="1"/>
      <c r="AN564" s="1"/>
      <c r="AO564" s="1"/>
      <c r="BC564" s="56"/>
      <c r="BE564" s="59"/>
      <c r="BH564" s="97"/>
      <c r="BI564" s="97"/>
      <c r="BJ564" s="97"/>
      <c r="BK564" s="493">
        <f>+BK187-BK558</f>
        <v>-8852527</v>
      </c>
      <c r="BL564" s="97"/>
      <c r="BM564" s="97"/>
      <c r="BN564" s="97"/>
      <c r="BO564" s="97"/>
      <c r="BP564" s="97"/>
      <c r="BQ564" s="97"/>
      <c r="BR564" s="78"/>
      <c r="BS564" s="1"/>
      <c r="BT564" s="1"/>
    </row>
    <row r="565" spans="2:72" x14ac:dyDescent="0.3">
      <c r="B565" s="231"/>
      <c r="D565" s="1"/>
      <c r="E565" s="111" t="s">
        <v>45</v>
      </c>
      <c r="F565" s="112"/>
      <c r="H565" s="112" t="s">
        <v>55</v>
      </c>
      <c r="I565" s="10"/>
      <c r="J565" s="10"/>
      <c r="K565" s="61"/>
      <c r="L565" s="10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BC565" s="56"/>
      <c r="BE565" s="59"/>
      <c r="BH565" s="97"/>
      <c r="BI565" s="97"/>
      <c r="BJ565" s="97"/>
      <c r="BK565" s="493"/>
      <c r="BL565" s="97"/>
      <c r="BM565" s="97"/>
      <c r="BN565" s="97"/>
      <c r="BO565" s="97"/>
      <c r="BP565" s="97"/>
      <c r="BQ565" s="97"/>
      <c r="BR565" s="78"/>
      <c r="BS565" s="1"/>
      <c r="BT565" s="1"/>
    </row>
    <row r="566" spans="2:72" x14ac:dyDescent="0.3">
      <c r="D566" s="1"/>
      <c r="E566" s="111" t="s">
        <v>60</v>
      </c>
      <c r="F566" s="61"/>
      <c r="H566" s="81" t="s">
        <v>135</v>
      </c>
      <c r="I566" s="61"/>
      <c r="J566" s="61"/>
      <c r="K566" s="61"/>
      <c r="L566" s="6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BH566" s="97"/>
      <c r="BI566" s="97"/>
      <c r="BJ566" s="97"/>
      <c r="BK566" s="496"/>
      <c r="BL566" s="97"/>
      <c r="BM566" s="97"/>
      <c r="BN566" s="97"/>
      <c r="BO566" s="97"/>
      <c r="BP566" s="97"/>
      <c r="BQ566" s="97"/>
      <c r="BR566" s="78"/>
      <c r="BS566" s="1"/>
      <c r="BT566" s="1"/>
    </row>
    <row r="567" spans="2:72" x14ac:dyDescent="0.3">
      <c r="E567" s="111" t="s">
        <v>136</v>
      </c>
      <c r="H567" s="81" t="s">
        <v>137</v>
      </c>
      <c r="AD567" s="1"/>
      <c r="AE567" s="1"/>
      <c r="AF567" s="1"/>
      <c r="AG567" s="1"/>
      <c r="AH567" s="1"/>
      <c r="AI567" s="1"/>
      <c r="BD567" s="78"/>
      <c r="BE567" s="78"/>
      <c r="BF567" s="78"/>
      <c r="BG567" s="78"/>
      <c r="BH567" s="78"/>
      <c r="BI567" s="78"/>
      <c r="BJ567" s="78"/>
      <c r="BK567" s="494"/>
      <c r="BL567" s="78"/>
      <c r="BM567" s="78"/>
      <c r="BN567" s="78"/>
      <c r="BO567" s="78"/>
      <c r="BP567" s="78"/>
      <c r="BQ567" s="78"/>
      <c r="BR567" s="78"/>
      <c r="BS567" s="1"/>
      <c r="BT567" s="1"/>
    </row>
    <row r="568" spans="2:72" x14ac:dyDescent="0.3">
      <c r="B568" s="56"/>
      <c r="AD568" s="1"/>
      <c r="AE568" s="1"/>
      <c r="AF568" s="1"/>
      <c r="AG568" s="1"/>
      <c r="AH568" s="1"/>
      <c r="AI568" s="1"/>
      <c r="BA568" s="545">
        <v>157602857</v>
      </c>
      <c r="BK568" s="495"/>
    </row>
    <row r="569" spans="2:72" ht="15" thickBot="1" x14ac:dyDescent="0.35">
      <c r="D569" s="56">
        <f>SUM(D363:D369)</f>
        <v>378583</v>
      </c>
      <c r="AD569" s="1"/>
      <c r="AE569" s="507"/>
      <c r="AF569" s="547"/>
      <c r="AG569" s="507"/>
      <c r="AH569" s="507"/>
      <c r="AI569" s="507"/>
      <c r="AJ569" s="500"/>
      <c r="AK569" s="500"/>
      <c r="AL569" s="500"/>
      <c r="AM569" s="500"/>
      <c r="AN569" s="500"/>
      <c r="AO569" s="500"/>
      <c r="AP569" s="500"/>
      <c r="AQ569" s="500"/>
      <c r="AR569" s="500"/>
      <c r="AS569" s="500"/>
      <c r="AT569" s="500"/>
      <c r="AU569" s="500"/>
      <c r="AV569" s="500"/>
      <c r="AW569" s="500"/>
      <c r="AX569" s="500"/>
      <c r="AZ569" s="106"/>
      <c r="BA569" s="106"/>
      <c r="BB569" s="106"/>
      <c r="BC569" s="106"/>
      <c r="BK569" s="1"/>
    </row>
    <row r="570" spans="2:72" x14ac:dyDescent="0.3">
      <c r="D570" s="531">
        <f>SUM(D356:D362)</f>
        <v>417052</v>
      </c>
      <c r="J570" s="486"/>
      <c r="V570" s="106"/>
      <c r="AA570" s="56"/>
      <c r="AD570" s="1"/>
      <c r="AE570" s="507"/>
      <c r="AF570" s="546"/>
      <c r="AG570" s="1"/>
      <c r="AH570" s="1"/>
      <c r="AI570" s="485"/>
      <c r="AJ570" s="464"/>
      <c r="AK570" s="465"/>
      <c r="AL570" s="465"/>
      <c r="AM570" s="465"/>
      <c r="AN570" s="465"/>
      <c r="AO570" s="465"/>
      <c r="AP570" s="465"/>
      <c r="AQ570" s="465"/>
      <c r="AR570" s="465"/>
      <c r="AS570" s="465"/>
      <c r="AT570" s="465"/>
      <c r="AU570" s="465"/>
      <c r="AV570" s="465"/>
      <c r="AW570" s="466"/>
      <c r="AX570" s="500"/>
      <c r="AZ570" s="106"/>
      <c r="BA570" s="77"/>
      <c r="BB570" s="106"/>
      <c r="BC570" s="106"/>
      <c r="BK570" s="56"/>
    </row>
    <row r="571" spans="2:72" x14ac:dyDescent="0.3">
      <c r="D571" s="1"/>
      <c r="J571" s="214"/>
      <c r="AD571" s="1"/>
      <c r="AE571" s="507"/>
      <c r="AF571" s="546"/>
      <c r="AG571" s="1"/>
      <c r="AH571" s="1"/>
      <c r="AI571" s="485"/>
      <c r="AJ571" s="467"/>
      <c r="AK571" s="588" t="s">
        <v>142</v>
      </c>
      <c r="AL571" s="588"/>
      <c r="AM571" s="588"/>
      <c r="AN571" s="588"/>
      <c r="AO571" s="588"/>
      <c r="AP571" s="588"/>
      <c r="AQ571" s="588"/>
      <c r="AR571" s="588"/>
      <c r="AS571" s="588"/>
      <c r="AT571" s="588"/>
      <c r="AU571" s="588"/>
      <c r="AV571" s="588"/>
      <c r="AW571" s="468"/>
      <c r="AX571" s="500"/>
      <c r="AZ571" s="106"/>
      <c r="BA571" s="106"/>
      <c r="BB571" s="106"/>
      <c r="BC571" s="106"/>
    </row>
    <row r="572" spans="2:72" ht="15.6" x14ac:dyDescent="0.3">
      <c r="D572" s="1">
        <v>331000000</v>
      </c>
      <c r="H572" s="235">
        <f>+H269/D572</f>
        <v>4.5635842900302113E-2</v>
      </c>
      <c r="J572" s="57"/>
      <c r="AD572" s="1"/>
      <c r="AE572" s="507"/>
      <c r="AF572" s="546"/>
      <c r="AG572" s="1"/>
      <c r="AH572" s="1"/>
      <c r="AI572" s="485"/>
      <c r="AJ572" s="467"/>
      <c r="AK572" s="588" t="s">
        <v>141</v>
      </c>
      <c r="AL572" s="588"/>
      <c r="AM572" s="588"/>
      <c r="AN572" s="588"/>
      <c r="AO572" s="473"/>
      <c r="AP572" s="474" t="s">
        <v>20</v>
      </c>
      <c r="AQ572" s="473"/>
      <c r="AR572" s="474" t="s">
        <v>4</v>
      </c>
      <c r="AS572" s="475"/>
      <c r="AT572" s="475"/>
      <c r="AU572" s="475"/>
      <c r="AV572" s="479" t="s">
        <v>10</v>
      </c>
      <c r="AW572" s="468"/>
      <c r="AX572" s="500"/>
      <c r="AZ572" s="106"/>
      <c r="BA572" s="106"/>
      <c r="BB572" s="106"/>
      <c r="BC572" s="106"/>
    </row>
    <row r="573" spans="2:72" ht="15.6" x14ac:dyDescent="0.3">
      <c r="H573" s="235">
        <f>+AA269/H269</f>
        <v>1.9000541790705667E-2</v>
      </c>
      <c r="AD573" s="1"/>
      <c r="AE573" s="507"/>
      <c r="AF573" s="546"/>
      <c r="AG573" s="1"/>
      <c r="AH573" s="1"/>
      <c r="AI573" s="485"/>
      <c r="AJ573" s="467"/>
      <c r="AK573" s="595" t="s">
        <v>138</v>
      </c>
      <c r="AL573" s="595"/>
      <c r="AM573" s="595"/>
      <c r="AN573" s="595"/>
      <c r="AO573" s="473"/>
      <c r="AP573" s="476">
        <f>+AH50</f>
        <v>898992</v>
      </c>
      <c r="AQ573" s="477"/>
      <c r="AR573" s="476">
        <f>+AH51</f>
        <v>55687</v>
      </c>
      <c r="AS573" s="478"/>
      <c r="AT573" s="478"/>
      <c r="AU573" s="478"/>
      <c r="AV573" s="491">
        <f t="shared" ref="AV573:AV579" si="3178">+AR573/AP573</f>
        <v>6.194382152455194E-2</v>
      </c>
      <c r="AW573" s="468"/>
      <c r="AX573" s="500"/>
      <c r="AZ573" s="106"/>
      <c r="BA573" s="77"/>
      <c r="BB573" s="106"/>
      <c r="BC573" s="106"/>
    </row>
    <row r="574" spans="2:72" ht="15.6" x14ac:dyDescent="0.3">
      <c r="D574" s="235"/>
      <c r="AD574" s="1"/>
      <c r="AE574" s="507"/>
      <c r="AF574" s="546"/>
      <c r="AG574" s="1"/>
      <c r="AH574" s="1"/>
      <c r="AI574" s="485"/>
      <c r="AJ574" s="467"/>
      <c r="AK574" s="612" t="s">
        <v>139</v>
      </c>
      <c r="AL574" s="592"/>
      <c r="AM574" s="592"/>
      <c r="AN574" s="592"/>
      <c r="AO574" s="64"/>
      <c r="AP574" s="469">
        <f>+AG83</f>
        <v>742147</v>
      </c>
      <c r="AQ574" s="64"/>
      <c r="AR574" s="469">
        <f>+AG84</f>
        <v>42339</v>
      </c>
      <c r="AS574" s="64"/>
      <c r="AT574" s="64"/>
      <c r="AU574" s="64"/>
      <c r="AV574" s="489">
        <f t="shared" si="3178"/>
        <v>5.7049344671608188E-2</v>
      </c>
      <c r="AW574" s="468"/>
      <c r="AX574" s="500"/>
      <c r="AZ574" s="106"/>
      <c r="BA574" s="77"/>
      <c r="BB574" s="106"/>
      <c r="BC574" s="106"/>
    </row>
    <row r="575" spans="2:72" ht="15.6" x14ac:dyDescent="0.3">
      <c r="AD575" s="1"/>
      <c r="AE575" s="507"/>
      <c r="AF575" s="546"/>
      <c r="AG575" s="1"/>
      <c r="AH575" s="1"/>
      <c r="AI575" s="485"/>
      <c r="AJ575" s="467"/>
      <c r="AK575" s="592" t="s">
        <v>140</v>
      </c>
      <c r="AL575" s="592"/>
      <c r="AM575" s="592"/>
      <c r="AN575" s="592"/>
      <c r="AO575" s="64"/>
      <c r="AP575" s="469">
        <f>+AH113</f>
        <v>869627</v>
      </c>
      <c r="AQ575" s="64"/>
      <c r="AR575" s="469">
        <f>+AH114</f>
        <v>21252</v>
      </c>
      <c r="AS575" s="64"/>
      <c r="AT575" s="64"/>
      <c r="AU575" s="64"/>
      <c r="AV575" s="489">
        <f t="shared" si="3178"/>
        <v>2.4438063675575852E-2</v>
      </c>
      <c r="AW575" s="468"/>
      <c r="AX575" s="500"/>
      <c r="AZ575" s="106"/>
      <c r="BA575" s="106"/>
      <c r="BB575" s="106"/>
      <c r="BC575" s="106"/>
    </row>
    <row r="576" spans="2:72" ht="15.6" x14ac:dyDescent="0.3">
      <c r="D576" s="428"/>
      <c r="AD576" s="1"/>
      <c r="AE576" s="507"/>
      <c r="AF576" s="546"/>
      <c r="AG576" s="1"/>
      <c r="AH576" s="1"/>
      <c r="AI576" s="485"/>
      <c r="AJ576" s="467"/>
      <c r="AK576" s="592" t="s">
        <v>143</v>
      </c>
      <c r="AL576" s="592"/>
      <c r="AM576" s="592"/>
      <c r="AN576" s="592"/>
      <c r="AO576" s="64"/>
      <c r="AP576" s="469">
        <f>+AG582</f>
        <v>1970617</v>
      </c>
      <c r="AQ576" s="64"/>
      <c r="AR576" s="469">
        <f>+AG584</f>
        <v>25901</v>
      </c>
      <c r="AS576" s="64"/>
      <c r="AT576" s="64"/>
      <c r="AU576" s="64"/>
      <c r="AV576" s="489">
        <f t="shared" si="3178"/>
        <v>1.3143599187462607E-2</v>
      </c>
      <c r="AW576" s="468"/>
      <c r="AX576" s="500"/>
    </row>
    <row r="577" spans="2:87" ht="15.6" x14ac:dyDescent="0.3">
      <c r="D577" s="428"/>
      <c r="AD577" s="1"/>
      <c r="AE577" s="507"/>
      <c r="AF577" s="546"/>
      <c r="AG577" s="1"/>
      <c r="AH577" s="1"/>
      <c r="AI577" s="485"/>
      <c r="AJ577" s="467"/>
      <c r="AK577" s="543"/>
      <c r="AL577" s="543" t="s">
        <v>151</v>
      </c>
      <c r="AM577" s="543"/>
      <c r="AN577" s="543"/>
      <c r="AO577" s="64"/>
      <c r="AP577" s="469">
        <f>SUM(D144:D174)</f>
        <v>1493931</v>
      </c>
      <c r="AQ577" s="64"/>
      <c r="AR577" s="469">
        <f>SUM(W144:W174)</f>
        <v>30354</v>
      </c>
      <c r="AS577" s="64"/>
      <c r="AT577" s="64"/>
      <c r="AU577" s="64"/>
      <c r="AV577" s="489">
        <f t="shared" si="3178"/>
        <v>2.0318207467413155E-2</v>
      </c>
      <c r="AW577" s="468"/>
      <c r="AX577" s="500"/>
    </row>
    <row r="578" spans="2:87" ht="15.6" x14ac:dyDescent="0.3">
      <c r="D578" s="428"/>
      <c r="AD578" s="1"/>
      <c r="AE578" s="507"/>
      <c r="AF578" s="546"/>
      <c r="AG578" s="1"/>
      <c r="AH578" s="1"/>
      <c r="AI578" s="485"/>
      <c r="AJ578" s="467"/>
      <c r="AK578" s="543"/>
      <c r="AL578" s="543" t="s">
        <v>152</v>
      </c>
      <c r="AM578" s="543"/>
      <c r="AN578" s="543"/>
      <c r="AO578" s="64"/>
      <c r="AP578" s="469">
        <f>SUM(D175:D204)</f>
        <v>1202331</v>
      </c>
      <c r="AQ578" s="64"/>
      <c r="AR578" s="544">
        <f>SUM(W175:W204)</f>
        <v>24042</v>
      </c>
      <c r="AS578" s="64"/>
      <c r="AT578" s="64"/>
      <c r="AU578" s="64"/>
      <c r="AV578" s="489">
        <f t="shared" si="3178"/>
        <v>1.9996157464125936E-2</v>
      </c>
      <c r="AW578" s="468"/>
      <c r="AX578" s="500"/>
    </row>
    <row r="579" spans="2:87" ht="15.6" x14ac:dyDescent="0.3">
      <c r="D579" s="428"/>
      <c r="AD579" s="1"/>
      <c r="AE579" s="507"/>
      <c r="AF579" s="546"/>
      <c r="AG579" s="1"/>
      <c r="AH579" s="1"/>
      <c r="AI579" s="485"/>
      <c r="AJ579" s="467"/>
      <c r="AK579" s="543"/>
      <c r="AL579" s="543" t="s">
        <v>153</v>
      </c>
      <c r="AM579" s="543"/>
      <c r="AN579" s="543"/>
      <c r="AO579" s="64"/>
      <c r="AP579" s="469">
        <f>SUM(D205:D230)</f>
        <v>1470960</v>
      </c>
      <c r="AQ579" s="64"/>
      <c r="AR579" s="469">
        <f>SUM(W205:W235)</f>
        <v>24156</v>
      </c>
      <c r="AS579" s="64"/>
      <c r="AT579" s="64"/>
      <c r="AU579" s="64"/>
      <c r="AV579" s="489">
        <f t="shared" si="3178"/>
        <v>1.6421928536465982E-2</v>
      </c>
      <c r="AW579" s="468"/>
      <c r="AX579" s="500"/>
      <c r="BA579" s="486">
        <f>+AV573-AV579</f>
        <v>4.5521892988085955E-2</v>
      </c>
    </row>
    <row r="580" spans="2:87" ht="15" thickBot="1" x14ac:dyDescent="0.35">
      <c r="B580" s="427"/>
      <c r="D580" s="235"/>
      <c r="AD580" s="1"/>
      <c r="AE580" s="507"/>
      <c r="AF580" s="546"/>
      <c r="AG580" s="1"/>
      <c r="AH580" s="1"/>
      <c r="AI580" s="485"/>
      <c r="AJ580" s="467"/>
      <c r="AK580" s="480"/>
      <c r="AL580" s="480"/>
      <c r="AM580" s="480"/>
      <c r="AN580" s="480"/>
      <c r="AO580" s="481"/>
      <c r="AP580" s="482"/>
      <c r="AQ580" s="481"/>
      <c r="AR580" s="482"/>
      <c r="AS580" s="481"/>
      <c r="AT580" s="481"/>
      <c r="AU580" s="481"/>
      <c r="AV580" s="483"/>
      <c r="AW580" s="468"/>
      <c r="AX580" s="500"/>
      <c r="BA580">
        <f>+BA579/AV573</f>
        <v>0.73488996751747038</v>
      </c>
    </row>
    <row r="581" spans="2:87" ht="15.6" x14ac:dyDescent="0.3">
      <c r="B581" s="427"/>
      <c r="D581" s="235"/>
      <c r="AD581" s="1"/>
      <c r="AE581" s="507"/>
      <c r="AF581" s="546"/>
      <c r="AG581" s="1"/>
      <c r="AH581" s="1"/>
      <c r="AI581" s="485"/>
      <c r="AJ581" s="467"/>
      <c r="AK581" s="595" t="s">
        <v>138</v>
      </c>
      <c r="AL581" s="595"/>
      <c r="AM581" s="595"/>
      <c r="AN581" s="595"/>
      <c r="AO581" s="64"/>
      <c r="AP581" s="469"/>
      <c r="AQ581" s="64"/>
      <c r="AR581" s="469">
        <f>+AR573</f>
        <v>55687</v>
      </c>
      <c r="AS581" s="64"/>
      <c r="AT581" s="64"/>
      <c r="AU581" s="64"/>
      <c r="AV581" s="144"/>
      <c r="AW581" s="468"/>
      <c r="AX581" s="500"/>
    </row>
    <row r="582" spans="2:87" ht="15.6" x14ac:dyDescent="0.3">
      <c r="B582" s="427"/>
      <c r="D582" s="235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10"/>
      <c r="AE582" s="507"/>
      <c r="AF582" s="546"/>
      <c r="AG582" s="33">
        <f>SUM(D113:D143)</f>
        <v>1970617</v>
      </c>
      <c r="AH582" s="1"/>
      <c r="AI582" s="485"/>
      <c r="AJ582" s="467"/>
      <c r="AK582" s="596" t="s">
        <v>153</v>
      </c>
      <c r="AL582" s="596"/>
      <c r="AM582" s="596"/>
      <c r="AN582" s="596"/>
      <c r="AO582" s="64"/>
      <c r="AP582" s="469"/>
      <c r="AQ582" s="64"/>
      <c r="AR582" s="469">
        <f>+AR579</f>
        <v>24156</v>
      </c>
      <c r="AS582" s="64"/>
      <c r="AT582" s="64"/>
      <c r="AU582" s="64"/>
      <c r="AV582" s="144"/>
      <c r="AW582" s="468"/>
      <c r="AX582" s="500"/>
    </row>
    <row r="583" spans="2:87" ht="15.6" x14ac:dyDescent="0.3">
      <c r="B583" s="427"/>
      <c r="D583" s="235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10"/>
      <c r="AE583" s="507"/>
      <c r="AF583" s="546"/>
      <c r="AG583" s="33">
        <f>SUM(W125:W138)</f>
        <v>12117</v>
      </c>
      <c r="AH583" s="1"/>
      <c r="AI583" s="485"/>
      <c r="AJ583" s="467"/>
      <c r="AK583" s="63"/>
      <c r="AL583" s="497" t="s">
        <v>3</v>
      </c>
      <c r="AM583" s="63"/>
      <c r="AN583" s="63"/>
      <c r="AO583" s="64"/>
      <c r="AP583" s="469"/>
      <c r="AQ583" s="64"/>
      <c r="AR583" s="469">
        <f>+AR581-AR582</f>
        <v>31531</v>
      </c>
      <c r="AS583" s="64"/>
      <c r="AT583" s="64"/>
      <c r="AU583" s="64"/>
      <c r="AV583" s="484">
        <f>+AR583/AR581</f>
        <v>0.5662183274372834</v>
      </c>
      <c r="AW583" s="468"/>
      <c r="AX583" s="500"/>
    </row>
    <row r="584" spans="2:87" ht="15" thickBot="1" x14ac:dyDescent="0.35">
      <c r="D584" s="427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10"/>
      <c r="AE584" s="507"/>
      <c r="AF584" s="548"/>
      <c r="AG584" s="33">
        <f>SUM(W113:W143)</f>
        <v>25901</v>
      </c>
      <c r="AH584" s="1"/>
      <c r="AI584" s="485"/>
      <c r="AJ584" s="470"/>
      <c r="AK584" s="471"/>
      <c r="AL584" s="471"/>
      <c r="AM584" s="471"/>
      <c r="AN584" s="471"/>
      <c r="AO584" s="471"/>
      <c r="AP584" s="471"/>
      <c r="AQ584" s="471"/>
      <c r="AR584" s="471"/>
      <c r="AS584" s="471"/>
      <c r="AT584" s="471"/>
      <c r="AU584" s="471"/>
      <c r="AV584" s="471"/>
      <c r="AW584" s="472"/>
      <c r="AX584" s="500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1"/>
      <c r="BT584" s="1"/>
      <c r="BU584" s="1"/>
      <c r="BV584" s="1"/>
      <c r="BW584" s="78"/>
      <c r="BX584" s="78"/>
      <c r="BY584" s="78"/>
      <c r="BZ584" s="78"/>
      <c r="CA584" s="78"/>
      <c r="CB584" s="78"/>
      <c r="CC584" s="78"/>
      <c r="CD584" s="78"/>
      <c r="CE584" s="78"/>
      <c r="CF584" s="78"/>
      <c r="CG584" s="78"/>
      <c r="CH584" s="78"/>
      <c r="CI584" s="78"/>
    </row>
    <row r="585" spans="2:87" x14ac:dyDescent="0.3"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10"/>
      <c r="AE585" s="507"/>
      <c r="AF585" s="507"/>
      <c r="AG585" s="507"/>
      <c r="AH585" s="507"/>
      <c r="AI585" s="507"/>
      <c r="AJ585" s="500"/>
      <c r="AK585" s="500"/>
      <c r="AL585" s="500"/>
      <c r="AM585" s="500"/>
      <c r="AN585" s="500"/>
      <c r="AO585" s="500"/>
      <c r="AP585" s="500"/>
      <c r="AQ585" s="500"/>
      <c r="AR585" s="500"/>
      <c r="AS585" s="500"/>
      <c r="AT585" s="500"/>
      <c r="AU585" s="500"/>
      <c r="AV585" s="500"/>
      <c r="AW585" s="500"/>
      <c r="AX585" s="500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77"/>
      <c r="BX585" s="77"/>
      <c r="BY585" s="77"/>
      <c r="BZ585" s="77"/>
      <c r="CA585" s="109"/>
      <c r="CB585" s="1"/>
      <c r="CC585" s="1"/>
      <c r="CD585" s="1"/>
      <c r="CE585" s="1"/>
      <c r="CF585" s="1"/>
      <c r="CG585" s="1"/>
      <c r="CH585" s="1"/>
      <c r="CI585" s="1"/>
    </row>
    <row r="586" spans="2:87" x14ac:dyDescent="0.3">
      <c r="D586">
        <v>10</v>
      </c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10"/>
      <c r="AE586" s="10"/>
      <c r="AF586" s="10"/>
      <c r="AG586" s="10"/>
      <c r="AH586" s="10"/>
      <c r="AI586" s="10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77"/>
      <c r="BX586" s="77"/>
      <c r="BY586" s="77"/>
      <c r="BZ586" s="77"/>
      <c r="CA586" s="77"/>
      <c r="CB586" s="1"/>
      <c r="CC586" s="1"/>
      <c r="CD586" s="1"/>
      <c r="CE586" s="1"/>
      <c r="CF586" s="1"/>
      <c r="CG586" s="1"/>
      <c r="CH586" s="1"/>
      <c r="CI586" s="1"/>
    </row>
    <row r="587" spans="2:87" x14ac:dyDescent="0.3">
      <c r="D587" s="1">
        <v>77000000</v>
      </c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10"/>
      <c r="AE587" s="10"/>
      <c r="AF587" s="10"/>
      <c r="AG587" s="10"/>
      <c r="AH587" s="10"/>
      <c r="AI587" s="10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77"/>
      <c r="BX587" s="77"/>
      <c r="BY587" s="77"/>
      <c r="BZ587" s="77"/>
      <c r="CA587" s="77"/>
      <c r="CB587" s="1"/>
      <c r="CC587" s="1"/>
      <c r="CD587" s="1"/>
      <c r="CE587" s="1"/>
      <c r="CF587" s="1"/>
      <c r="CG587" s="1"/>
    </row>
    <row r="588" spans="2:87" x14ac:dyDescent="0.3">
      <c r="D588" s="57">
        <f>+D587/D590</f>
        <v>0.23262839879154079</v>
      </c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10"/>
      <c r="AE588" s="10"/>
      <c r="AF588" s="10"/>
      <c r="AG588" s="501"/>
      <c r="AH588" s="10"/>
      <c r="AI588" s="10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77"/>
      <c r="BX588" s="77"/>
      <c r="BY588" s="77"/>
      <c r="BZ588" s="77"/>
      <c r="CA588" s="77"/>
      <c r="CB588" s="1"/>
      <c r="CC588" s="1"/>
      <c r="CD588" s="1"/>
      <c r="CE588" s="1"/>
      <c r="CF588" s="1"/>
      <c r="CG588" s="1"/>
    </row>
    <row r="589" spans="2:87" x14ac:dyDescent="0.3"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10"/>
      <c r="AE589" s="10"/>
      <c r="AF589" s="507"/>
      <c r="AG589" s="526"/>
      <c r="AH589" s="507"/>
      <c r="AI589" s="507"/>
      <c r="AJ589" s="500"/>
      <c r="AK589" s="500"/>
      <c r="AL589" s="500"/>
      <c r="AM589" s="500"/>
      <c r="AN589" s="500"/>
      <c r="AO589" s="500"/>
      <c r="AP589" s="500"/>
      <c r="AQ589" s="500"/>
      <c r="AR589" s="500"/>
      <c r="AS589" s="500"/>
      <c r="AT589" s="500"/>
      <c r="AU589" s="500"/>
      <c r="AV589" s="500"/>
      <c r="AW589" s="500"/>
      <c r="AX589" s="500"/>
      <c r="AY589" s="500"/>
      <c r="AZ589" s="500"/>
      <c r="BA589" s="500"/>
      <c r="BB589" s="500"/>
      <c r="BC589" s="500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77"/>
      <c r="BX589" s="77"/>
      <c r="BY589" s="110"/>
      <c r="BZ589" s="77"/>
      <c r="CA589" s="77"/>
    </row>
    <row r="590" spans="2:87" x14ac:dyDescent="0.3">
      <c r="D590" s="1">
        <v>331000000</v>
      </c>
      <c r="H590">
        <v>0.13400000000000001</v>
      </c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10"/>
      <c r="AE590" s="10"/>
      <c r="AF590" s="507"/>
      <c r="AG590" s="527"/>
      <c r="AH590" s="507"/>
      <c r="AI590" s="507"/>
      <c r="AJ590" s="524"/>
      <c r="AK590" s="524"/>
      <c r="AL590" s="525"/>
      <c r="AM590" s="525"/>
      <c r="AN590" s="525"/>
      <c r="AO590" s="525"/>
      <c r="AP590" s="525"/>
      <c r="AQ590" s="525"/>
      <c r="AR590" s="525"/>
      <c r="AS590" s="525"/>
      <c r="AT590" s="525"/>
      <c r="AU590" s="525"/>
      <c r="AV590" s="525"/>
      <c r="AW590" s="525"/>
      <c r="AX590" s="525"/>
      <c r="AY590" s="525"/>
      <c r="AZ590" s="525"/>
      <c r="BA590" s="525"/>
      <c r="BB590" s="524"/>
      <c r="BC590" s="524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77"/>
      <c r="BX590" s="77"/>
      <c r="BY590" s="77"/>
      <c r="BZ590" s="77"/>
      <c r="CA590" s="77"/>
    </row>
    <row r="591" spans="2:87" x14ac:dyDescent="0.3">
      <c r="D591" s="1">
        <f>+D590*H590</f>
        <v>44354000</v>
      </c>
      <c r="H591" s="1">
        <f>+D591*0.001</f>
        <v>44354</v>
      </c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10"/>
      <c r="AE591" s="10"/>
      <c r="AF591" s="507"/>
      <c r="AG591" s="526"/>
      <c r="AH591" s="507"/>
      <c r="AI591" s="507"/>
      <c r="AJ591" s="524"/>
      <c r="AK591" s="524"/>
      <c r="AL591" s="138"/>
      <c r="AM591" s="138"/>
      <c r="AN591" s="138"/>
      <c r="AO591" s="138"/>
      <c r="AP591" s="138"/>
      <c r="AQ591" s="138"/>
      <c r="AR591" s="138"/>
      <c r="AS591" s="78"/>
      <c r="AT591" s="78"/>
      <c r="AU591" s="78"/>
      <c r="AV591" s="98"/>
      <c r="AW591" s="98"/>
      <c r="AX591" s="98"/>
      <c r="AY591" s="98"/>
      <c r="AZ591" s="524"/>
      <c r="BA591" s="524"/>
      <c r="BB591" s="530"/>
      <c r="BC591" s="524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77"/>
      <c r="BX591" s="77"/>
      <c r="BY591" s="77"/>
      <c r="BZ591" s="77"/>
      <c r="CA591" s="77"/>
    </row>
    <row r="592" spans="2:87" x14ac:dyDescent="0.3">
      <c r="D592" s="425">
        <v>7.1999999999999995E-2</v>
      </c>
      <c r="H592" s="1">
        <f>+AA204*H590</f>
        <v>28746.886000000002</v>
      </c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10"/>
      <c r="AE592" s="10"/>
      <c r="AF592" s="507"/>
      <c r="AG592" s="526">
        <v>44031</v>
      </c>
      <c r="AH592" s="507"/>
      <c r="AI592" s="507"/>
      <c r="AJ592" s="524"/>
      <c r="AK592" s="524"/>
      <c r="AL592" s="138"/>
      <c r="AM592" s="138"/>
      <c r="AN592" s="138"/>
      <c r="AO592" s="138"/>
      <c r="AP592" s="138"/>
      <c r="AQ592" s="138"/>
      <c r="AR592" s="138"/>
      <c r="AS592" s="138"/>
      <c r="AT592" s="98"/>
      <c r="AU592" s="78"/>
      <c r="AV592" s="98"/>
      <c r="AW592" s="98"/>
      <c r="AX592" s="98"/>
      <c r="AY592" s="98"/>
      <c r="AZ592" s="524"/>
      <c r="BA592" s="524"/>
      <c r="BB592" s="530"/>
      <c r="BC592" s="524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77"/>
      <c r="BX592" s="77"/>
      <c r="BY592" s="77"/>
      <c r="BZ592" s="77"/>
      <c r="CA592" s="77"/>
    </row>
    <row r="593" spans="2:79" x14ac:dyDescent="0.3"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10"/>
      <c r="AE593" s="10"/>
      <c r="AF593" s="507"/>
      <c r="AG593" s="526">
        <v>44038</v>
      </c>
      <c r="AH593" s="507"/>
      <c r="AI593" s="507"/>
      <c r="AJ593" s="524"/>
      <c r="AK593" s="524"/>
      <c r="AL593" s="78"/>
      <c r="AM593" s="78"/>
      <c r="AN593" s="139"/>
      <c r="AO593" s="139"/>
      <c r="AP593" s="139"/>
      <c r="AQ593" s="139"/>
      <c r="AR593" s="139"/>
      <c r="AS593" s="78"/>
      <c r="AT593" s="78"/>
      <c r="AU593" s="78"/>
      <c r="AV593" s="98"/>
      <c r="AW593" s="98"/>
      <c r="AX593" s="98"/>
      <c r="AY593" s="98"/>
      <c r="AZ593" s="524"/>
      <c r="BA593" s="524"/>
      <c r="BB593" s="530"/>
      <c r="BC593" s="524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77"/>
      <c r="BX593" s="77"/>
      <c r="BY593" s="77"/>
      <c r="BZ593" s="77"/>
      <c r="CA593" s="77"/>
    </row>
    <row r="594" spans="2:79" x14ac:dyDescent="0.3">
      <c r="D594" s="235">
        <v>4.2000000000000003E-2</v>
      </c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10"/>
      <c r="AE594" s="10"/>
      <c r="AF594" s="507"/>
      <c r="AG594" s="526">
        <v>44045</v>
      </c>
      <c r="AH594" s="507"/>
      <c r="AI594" s="507"/>
      <c r="AJ594" s="524"/>
      <c r="AK594" s="524"/>
      <c r="AL594" s="138"/>
      <c r="AM594" s="138"/>
      <c r="AN594" s="138"/>
      <c r="AO594" s="138"/>
      <c r="AP594" s="138"/>
      <c r="AQ594" s="138"/>
      <c r="AR594" s="138"/>
      <c r="AS594" s="138"/>
      <c r="AT594" s="138"/>
      <c r="AU594" s="138"/>
      <c r="AV594" s="98"/>
      <c r="AW594" s="98"/>
      <c r="AX594" s="98"/>
      <c r="AY594" s="98"/>
      <c r="AZ594" s="524"/>
      <c r="BA594" s="524"/>
      <c r="BB594" s="530"/>
      <c r="BC594" s="524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2:79" x14ac:dyDescent="0.3">
      <c r="D595" s="531">
        <f>+D590*D592*D594</f>
        <v>1000944.0000000001</v>
      </c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10"/>
      <c r="AE595" s="10"/>
      <c r="AF595" s="507"/>
      <c r="AG595" s="526">
        <v>44052</v>
      </c>
      <c r="AH595" s="507"/>
      <c r="AI595" s="507"/>
      <c r="AJ595" s="524"/>
      <c r="AK595" s="524"/>
      <c r="AL595" s="78"/>
      <c r="AM595" s="78"/>
      <c r="AN595" s="139"/>
      <c r="AO595" s="139"/>
      <c r="AP595" s="139"/>
      <c r="AQ595" s="139"/>
      <c r="AR595" s="139"/>
      <c r="AS595" s="139"/>
      <c r="AT595" s="139"/>
      <c r="AU595" s="78"/>
      <c r="AV595" s="98"/>
      <c r="AW595" s="98"/>
      <c r="AX595" s="98"/>
      <c r="AY595" s="98"/>
      <c r="AZ595" s="524"/>
      <c r="BA595" s="524"/>
      <c r="BB595" s="530"/>
      <c r="BC595" s="524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2:79" x14ac:dyDescent="0.3"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10"/>
      <c r="AE596" s="10"/>
      <c r="AF596" s="507"/>
      <c r="AG596" s="526"/>
      <c r="AH596" s="507"/>
      <c r="AI596" s="507"/>
      <c r="AJ596" s="524"/>
      <c r="AK596" s="524"/>
      <c r="AL596" s="78"/>
      <c r="AM596" s="78"/>
      <c r="AN596" s="139"/>
      <c r="AO596" s="139"/>
      <c r="AP596" s="139"/>
      <c r="AQ596" s="139"/>
      <c r="AR596" s="139"/>
      <c r="AS596" s="139"/>
      <c r="AT596" s="139"/>
      <c r="AU596" s="78"/>
      <c r="AV596" s="98"/>
      <c r="AW596" s="98"/>
      <c r="AX596" s="98"/>
      <c r="AY596" s="98"/>
      <c r="AZ596" s="524"/>
      <c r="BA596" s="524"/>
      <c r="BB596" s="530"/>
      <c r="BC596" s="524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2:79" x14ac:dyDescent="0.3"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10"/>
      <c r="AE597" s="10"/>
      <c r="AF597" s="507"/>
      <c r="AG597" s="526"/>
      <c r="AH597" s="507"/>
      <c r="AI597" s="507"/>
      <c r="AJ597" s="524"/>
      <c r="AK597" s="524"/>
      <c r="AL597" s="78"/>
      <c r="AM597" s="78"/>
      <c r="AN597" s="139"/>
      <c r="AO597" s="139"/>
      <c r="AP597" s="139"/>
      <c r="AQ597" s="139"/>
      <c r="AR597" s="139"/>
      <c r="AS597" s="139"/>
      <c r="AT597" s="139"/>
      <c r="AU597" s="78"/>
      <c r="AV597" s="98"/>
      <c r="AW597" s="98"/>
      <c r="AX597" s="98"/>
      <c r="AY597" s="98"/>
      <c r="AZ597" s="524"/>
      <c r="BA597" s="524"/>
      <c r="BB597" s="530"/>
      <c r="BC597" s="524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2:79" x14ac:dyDescent="0.3"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10"/>
      <c r="AE598" s="10"/>
      <c r="AF598" s="507"/>
      <c r="AG598" s="528"/>
      <c r="AH598" s="507"/>
      <c r="AI598" s="507"/>
      <c r="AJ598" s="524"/>
      <c r="AK598" s="524"/>
      <c r="AL598" s="78"/>
      <c r="AM598" s="78"/>
      <c r="AN598" s="139"/>
      <c r="AO598" s="139"/>
      <c r="AP598" s="139"/>
      <c r="AQ598" s="139"/>
      <c r="AR598" s="139"/>
      <c r="AS598" s="139"/>
      <c r="AT598" s="139"/>
      <c r="AU598" s="78"/>
      <c r="AV598" s="98"/>
      <c r="AW598" s="98"/>
      <c r="AX598" s="98"/>
      <c r="AY598" s="98"/>
      <c r="AZ598" s="524"/>
      <c r="BA598" s="524"/>
      <c r="BB598" s="530"/>
      <c r="BC598" s="524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2:79" x14ac:dyDescent="0.3"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10"/>
      <c r="AE599" s="10"/>
      <c r="AF599" s="507"/>
      <c r="AG599" s="507"/>
      <c r="AH599" s="507"/>
      <c r="AI599" s="507"/>
      <c r="AJ599" s="524"/>
      <c r="AK599" s="524"/>
      <c r="AL599" s="78"/>
      <c r="AM599" s="78"/>
      <c r="AN599" s="139"/>
      <c r="AO599" s="139"/>
      <c r="AP599" s="139"/>
      <c r="AQ599" s="139"/>
      <c r="AR599" s="139"/>
      <c r="AS599" s="139"/>
      <c r="AT599" s="139"/>
      <c r="AU599" s="78"/>
      <c r="AV599" s="98"/>
      <c r="AW599" s="98"/>
      <c r="AX599" s="98"/>
      <c r="AY599" s="98"/>
      <c r="AZ599" s="524"/>
      <c r="BA599" s="524"/>
      <c r="BB599" s="530"/>
      <c r="BC599" s="524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2:79" x14ac:dyDescent="0.3"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10"/>
      <c r="AE600" s="10"/>
      <c r="AF600" s="507"/>
      <c r="AG600" s="507"/>
      <c r="AH600" s="507"/>
      <c r="AI600" s="507"/>
      <c r="AJ600" s="524"/>
      <c r="AK600" s="524"/>
      <c r="AL600" s="138"/>
      <c r="AM600" s="138"/>
      <c r="AN600" s="138"/>
      <c r="AO600" s="138"/>
      <c r="AP600" s="138"/>
      <c r="AQ600" s="138"/>
      <c r="AR600" s="138"/>
      <c r="AS600" s="138"/>
      <c r="AT600" s="138"/>
      <c r="AU600" s="138"/>
      <c r="AV600" s="78"/>
      <c r="AW600" s="78"/>
      <c r="AX600" s="78"/>
      <c r="AY600" s="78"/>
      <c r="AZ600" s="524"/>
      <c r="BA600" s="530"/>
      <c r="BB600" s="530"/>
      <c r="BC600" s="524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2:79" x14ac:dyDescent="0.3">
      <c r="AD601" s="10"/>
      <c r="AE601" s="10"/>
      <c r="AF601" s="507"/>
      <c r="AG601" s="507"/>
      <c r="AH601" s="507"/>
      <c r="AI601" s="507"/>
      <c r="AJ601" s="524"/>
      <c r="AK601" s="524"/>
      <c r="AL601" s="138"/>
      <c r="AM601" s="138"/>
      <c r="AN601" s="138"/>
      <c r="AO601" s="138"/>
      <c r="AP601" s="138"/>
      <c r="AQ601" s="138"/>
      <c r="AR601" s="138"/>
      <c r="AS601" s="138"/>
      <c r="AT601" s="138"/>
      <c r="AU601" s="138"/>
      <c r="AV601" s="78"/>
      <c r="AW601" s="78"/>
      <c r="AX601" s="78"/>
      <c r="AY601" s="78"/>
      <c r="AZ601" s="524"/>
      <c r="BA601" s="530"/>
      <c r="BB601" s="530"/>
      <c r="BC601" s="524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2:79" ht="15" thickBot="1" x14ac:dyDescent="0.35">
      <c r="B602" s="500"/>
      <c r="C602" s="500"/>
      <c r="D602" s="500"/>
      <c r="E602" s="500"/>
      <c r="F602" s="500"/>
      <c r="G602" s="500"/>
      <c r="H602" s="500"/>
      <c r="I602" s="500"/>
      <c r="J602" s="500"/>
      <c r="K602" s="500"/>
      <c r="L602" s="500"/>
      <c r="M602" s="500"/>
      <c r="N602" s="500"/>
      <c r="O602" s="500"/>
      <c r="P602" s="500"/>
      <c r="Q602" s="500"/>
      <c r="R602" s="500"/>
      <c r="S602" s="500"/>
      <c r="T602" s="500"/>
      <c r="U602" s="500"/>
      <c r="V602" s="500"/>
      <c r="AD602" s="10"/>
      <c r="AE602" s="10"/>
      <c r="AF602" s="507"/>
      <c r="AG602" s="507"/>
      <c r="AH602" s="507"/>
      <c r="AI602" s="507"/>
      <c r="AJ602" s="524"/>
      <c r="AK602" s="524"/>
      <c r="AL602" s="138"/>
      <c r="AM602" s="138"/>
      <c r="AN602" s="138"/>
      <c r="AO602" s="138"/>
      <c r="AP602" s="138"/>
      <c r="AQ602" s="138"/>
      <c r="AR602" s="138"/>
      <c r="AS602" s="138"/>
      <c r="AT602" s="138"/>
      <c r="AU602" s="138"/>
      <c r="AV602" s="78"/>
      <c r="AW602" s="78"/>
      <c r="AX602" s="78"/>
      <c r="AY602" s="78"/>
      <c r="AZ602" s="524"/>
      <c r="BA602" s="530"/>
      <c r="BB602" s="530"/>
      <c r="BC602" s="524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2:79" x14ac:dyDescent="0.3">
      <c r="B603" s="500"/>
      <c r="C603" s="510"/>
      <c r="D603" s="357"/>
      <c r="E603" s="357"/>
      <c r="F603" s="357"/>
      <c r="G603" s="357"/>
      <c r="H603" s="357"/>
      <c r="I603" s="357"/>
      <c r="J603" s="357"/>
      <c r="K603" s="357"/>
      <c r="L603" s="357"/>
      <c r="M603" s="357"/>
      <c r="N603" s="357"/>
      <c r="O603" s="357"/>
      <c r="P603" s="511"/>
      <c r="V603" s="500"/>
      <c r="AD603" s="10"/>
      <c r="AE603" s="10"/>
      <c r="AF603" s="507"/>
      <c r="AG603" s="507"/>
      <c r="AH603" s="507"/>
      <c r="AI603" s="507"/>
      <c r="AJ603" s="524"/>
      <c r="AK603" s="524"/>
      <c r="AL603" s="138"/>
      <c r="AM603" s="138"/>
      <c r="AN603" s="138"/>
      <c r="AO603" s="138"/>
      <c r="AP603" s="138"/>
      <c r="AQ603" s="138"/>
      <c r="AR603" s="138"/>
      <c r="AS603" s="138"/>
      <c r="AT603" s="138"/>
      <c r="AU603" s="138"/>
      <c r="AV603" s="78"/>
      <c r="AW603" s="78"/>
      <c r="AX603" s="78"/>
      <c r="AY603" s="78"/>
      <c r="AZ603" s="524"/>
      <c r="BA603" s="530"/>
      <c r="BB603" s="530"/>
      <c r="BC603" s="524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2:79" x14ac:dyDescent="0.3">
      <c r="B604" s="500"/>
      <c r="C604" s="512"/>
      <c r="D604" s="502" t="s">
        <v>149</v>
      </c>
      <c r="E604" s="387"/>
      <c r="F604" s="387"/>
      <c r="G604" s="387"/>
      <c r="H604" s="594" t="s">
        <v>20</v>
      </c>
      <c r="I604" s="594"/>
      <c r="J604" s="594"/>
      <c r="K604" s="387"/>
      <c r="L604" s="387"/>
      <c r="M604" s="387"/>
      <c r="N604" s="387"/>
      <c r="O604" s="387"/>
      <c r="P604" s="513"/>
      <c r="V604" s="500"/>
      <c r="AD604" s="10"/>
      <c r="AE604" s="10"/>
      <c r="AF604" s="507"/>
      <c r="AG604" s="507"/>
      <c r="AH604" s="507"/>
      <c r="AI604" s="507"/>
      <c r="AJ604" s="524"/>
      <c r="AK604" s="524"/>
      <c r="AL604" s="138"/>
      <c r="AM604" s="138"/>
      <c r="AN604" s="138"/>
      <c r="AO604" s="138"/>
      <c r="AP604" s="138"/>
      <c r="AQ604" s="138"/>
      <c r="AR604" s="138"/>
      <c r="AS604" s="138"/>
      <c r="AT604" s="138"/>
      <c r="AU604" s="138"/>
      <c r="AV604" s="78"/>
      <c r="AW604" s="78"/>
      <c r="AX604" s="78"/>
      <c r="AY604" s="78"/>
      <c r="AZ604" s="524"/>
      <c r="BA604" s="530"/>
      <c r="BB604" s="530"/>
      <c r="BC604" s="524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2:79" x14ac:dyDescent="0.3">
      <c r="B605" s="500"/>
      <c r="C605" s="512"/>
      <c r="D605" s="514" t="s">
        <v>150</v>
      </c>
      <c r="E605" s="387"/>
      <c r="F605" s="387"/>
      <c r="G605" s="387"/>
      <c r="H605" s="515" t="s">
        <v>147</v>
      </c>
      <c r="I605" s="502"/>
      <c r="J605" s="516" t="s">
        <v>148</v>
      </c>
      <c r="K605" s="502"/>
      <c r="L605" s="502"/>
      <c r="M605" s="502"/>
      <c r="N605" s="502"/>
      <c r="O605" s="517" t="s">
        <v>3</v>
      </c>
      <c r="P605" s="513"/>
      <c r="V605" s="500"/>
      <c r="AD605" s="10"/>
      <c r="AE605" s="10"/>
      <c r="AF605" s="507"/>
      <c r="AG605" s="507"/>
      <c r="AH605" s="507"/>
      <c r="AI605" s="507"/>
      <c r="AJ605" s="524"/>
      <c r="AK605" s="524"/>
      <c r="AL605" s="529"/>
      <c r="AM605" s="529"/>
      <c r="AN605" s="529"/>
      <c r="AO605" s="529"/>
      <c r="AP605" s="529"/>
      <c r="AQ605" s="529"/>
      <c r="AR605" s="529"/>
      <c r="AS605" s="529"/>
      <c r="AT605" s="529"/>
      <c r="AU605" s="529"/>
      <c r="AV605" s="524"/>
      <c r="AW605" s="524"/>
      <c r="AX605" s="524"/>
      <c r="AY605" s="524"/>
      <c r="AZ605" s="524"/>
      <c r="BA605" s="530"/>
      <c r="BB605" s="530"/>
      <c r="BC605" s="524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2:79" x14ac:dyDescent="0.3">
      <c r="B606" s="500"/>
      <c r="C606" s="512"/>
      <c r="D606" s="503" t="s">
        <v>146</v>
      </c>
      <c r="E606" s="15"/>
      <c r="F606" s="15"/>
      <c r="G606" s="15"/>
      <c r="H606" s="518">
        <f>SUM(D133:D139)</f>
        <v>471981</v>
      </c>
      <c r="I606" s="15"/>
      <c r="J606" s="16">
        <f>+H606/7</f>
        <v>67425.857142857145</v>
      </c>
      <c r="K606" s="15"/>
      <c r="L606" s="15"/>
      <c r="M606" s="15"/>
      <c r="N606" s="15"/>
      <c r="O606" s="15"/>
      <c r="P606" s="513"/>
      <c r="V606" s="500"/>
      <c r="AD606" s="10"/>
      <c r="AE606" s="10"/>
      <c r="AF606" s="507"/>
      <c r="AG606" s="507"/>
      <c r="AH606" s="507"/>
      <c r="AI606" s="507"/>
      <c r="AJ606" s="524"/>
      <c r="AK606" s="524"/>
      <c r="AL606" s="529"/>
      <c r="AM606" s="529"/>
      <c r="AN606" s="529"/>
      <c r="AO606" s="529"/>
      <c r="AP606" s="529"/>
      <c r="AQ606" s="529"/>
      <c r="AR606" s="529"/>
      <c r="AS606" s="529"/>
      <c r="AT606" s="529"/>
      <c r="AU606" s="529"/>
      <c r="AV606" s="529"/>
      <c r="AW606" s="529"/>
      <c r="AX606" s="529"/>
      <c r="AY606" s="529"/>
      <c r="AZ606" s="524"/>
      <c r="BA606" s="524"/>
      <c r="BB606" s="530"/>
      <c r="BC606" s="524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2:79" x14ac:dyDescent="0.3">
      <c r="B607" s="500"/>
      <c r="C607" s="512"/>
      <c r="D607" s="503" t="s">
        <v>145</v>
      </c>
      <c r="E607" s="15"/>
      <c r="F607" s="15"/>
      <c r="G607" s="15"/>
      <c r="H607" s="16">
        <f>SUM(D140:D146)</f>
        <v>427527</v>
      </c>
      <c r="I607" s="15"/>
      <c r="J607" s="16">
        <f>+H607/7</f>
        <v>61075.285714285717</v>
      </c>
      <c r="K607" s="15"/>
      <c r="L607" s="15"/>
      <c r="M607" s="15"/>
      <c r="N607" s="15"/>
      <c r="O607" s="15"/>
      <c r="P607" s="513"/>
      <c r="V607" s="500"/>
      <c r="AJ607" s="98"/>
      <c r="AK607" s="98"/>
      <c r="AL607" s="98"/>
      <c r="AM607" s="98"/>
      <c r="AN607" s="98"/>
      <c r="AO607" s="98"/>
      <c r="AP607" s="98"/>
      <c r="AQ607" s="98"/>
      <c r="AR607" s="98"/>
      <c r="AS607" s="98"/>
      <c r="AT607" s="78"/>
      <c r="AU607" s="98"/>
      <c r="AV607" s="140"/>
      <c r="AW607" s="140"/>
      <c r="AX607" s="140"/>
      <c r="AY607" s="140"/>
      <c r="AZ607" s="98"/>
      <c r="BA607" s="98"/>
      <c r="BB607" s="98"/>
      <c r="BC607" s="98"/>
    </row>
    <row r="608" spans="2:79" x14ac:dyDescent="0.3">
      <c r="B608" s="506"/>
      <c r="C608" s="512"/>
      <c r="D608" s="503" t="s">
        <v>144</v>
      </c>
      <c r="E608" s="15"/>
      <c r="F608" s="15"/>
      <c r="G608" s="15"/>
      <c r="H608" s="16">
        <f>SUM(D147:D153)</f>
        <v>383516</v>
      </c>
      <c r="I608" s="15"/>
      <c r="J608" s="16">
        <f>+H608/7</f>
        <v>54788</v>
      </c>
      <c r="K608" s="15"/>
      <c r="L608" s="15"/>
      <c r="M608" s="15"/>
      <c r="N608" s="15"/>
      <c r="O608" s="518">
        <f>+H606-H608</f>
        <v>88465</v>
      </c>
      <c r="P608" s="513"/>
      <c r="V608" s="500"/>
      <c r="AA608">
        <f>+O608/7</f>
        <v>12637.857142857143</v>
      </c>
      <c r="AJ608" s="98"/>
      <c r="AK608" s="98"/>
      <c r="AL608" s="98"/>
      <c r="AM608" s="98"/>
      <c r="AN608" s="98"/>
      <c r="AO608" s="98"/>
      <c r="AP608" s="98"/>
      <c r="AQ608" s="98"/>
      <c r="AR608" s="98"/>
      <c r="AS608" s="98"/>
      <c r="AT608" s="98"/>
      <c r="AU608" s="98"/>
      <c r="AV608" s="78"/>
      <c r="AW608" s="78"/>
      <c r="AX608" s="78"/>
      <c r="AY608" s="78"/>
      <c r="AZ608" s="98"/>
      <c r="BA608" s="141"/>
      <c r="BB608" s="98"/>
      <c r="BC608" s="98"/>
    </row>
    <row r="609" spans="2:61" x14ac:dyDescent="0.3">
      <c r="B609" s="507"/>
      <c r="C609" s="512"/>
      <c r="D609" s="519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60">
        <f>+O608/H606</f>
        <v>0.18743339244588236</v>
      </c>
      <c r="P609" s="513"/>
      <c r="V609" s="500"/>
      <c r="X609" s="61"/>
      <c r="Y609" s="61"/>
      <c r="Z609" s="98"/>
      <c r="AA609" s="98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8"/>
      <c r="AM609" s="98"/>
      <c r="AN609" s="98"/>
      <c r="AO609" s="98"/>
      <c r="AP609" s="78">
        <v>480454</v>
      </c>
      <c r="AQ609" s="98"/>
      <c r="AR609" s="98"/>
      <c r="AS609" s="98"/>
      <c r="AT609" s="98"/>
      <c r="AU609" s="98"/>
      <c r="AV609" s="98"/>
      <c r="AW609" s="98"/>
      <c r="AX609" s="98"/>
      <c r="AY609" s="98"/>
      <c r="AZ609" s="98"/>
      <c r="BA609" s="98"/>
      <c r="BB609" s="98"/>
      <c r="BC609" s="98"/>
    </row>
    <row r="610" spans="2:61" ht="15" thickBot="1" x14ac:dyDescent="0.35">
      <c r="B610" s="507"/>
      <c r="C610" s="520"/>
      <c r="D610" s="521"/>
      <c r="E610" s="521"/>
      <c r="F610" s="521"/>
      <c r="G610" s="521"/>
      <c r="H610" s="521"/>
      <c r="I610" s="521"/>
      <c r="J610" s="522"/>
      <c r="K610" s="521"/>
      <c r="L610" s="521"/>
      <c r="M610" s="521"/>
      <c r="N610" s="521"/>
      <c r="O610" s="521"/>
      <c r="P610" s="523"/>
      <c r="V610" s="500"/>
      <c r="X610" s="61"/>
      <c r="Y610" s="61"/>
      <c r="Z610" s="98"/>
      <c r="AA610" s="98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8"/>
      <c r="AM610" s="98"/>
      <c r="AN610" s="98"/>
      <c r="AO610" s="98"/>
      <c r="AP610" s="140">
        <f>+N201</f>
        <v>290088</v>
      </c>
      <c r="AQ610" s="98"/>
      <c r="AR610" s="98"/>
      <c r="AS610" s="98"/>
      <c r="AT610" s="98"/>
      <c r="AU610" s="98"/>
      <c r="AV610" s="98"/>
      <c r="AW610" s="98"/>
      <c r="AX610" s="98"/>
      <c r="AY610" s="98"/>
      <c r="AZ610" s="98"/>
      <c r="BA610" s="98"/>
      <c r="BB610" s="98"/>
      <c r="BC610" s="98"/>
    </row>
    <row r="611" spans="2:61" x14ac:dyDescent="0.3">
      <c r="B611" s="507"/>
      <c r="C611" s="500"/>
      <c r="D611" s="508"/>
      <c r="E611" s="500"/>
      <c r="F611" s="500"/>
      <c r="G611" s="500"/>
      <c r="H611" s="509"/>
      <c r="I611" s="500"/>
      <c r="J611" s="500"/>
      <c r="K611" s="500"/>
      <c r="L611" s="500"/>
      <c r="M611" s="500"/>
      <c r="N611" s="500"/>
      <c r="O611" s="500"/>
      <c r="P611" s="500"/>
      <c r="Q611" s="500"/>
      <c r="R611" s="500"/>
      <c r="S611" s="500"/>
      <c r="T611" s="500"/>
      <c r="U611" s="500"/>
      <c r="V611" s="500"/>
      <c r="X611" s="61"/>
      <c r="Y611" s="61"/>
      <c r="Z611" s="98"/>
      <c r="AA611" s="98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8"/>
      <c r="AM611" s="98"/>
      <c r="AN611" s="98"/>
      <c r="AO611" s="98"/>
      <c r="AP611" s="140">
        <f>+AP609-AP610</f>
        <v>190366</v>
      </c>
      <c r="AQ611" s="98"/>
      <c r="AR611" s="98"/>
    </row>
    <row r="612" spans="2:61" x14ac:dyDescent="0.3">
      <c r="B612" s="1"/>
      <c r="D612" s="55"/>
      <c r="X612" s="61"/>
      <c r="Y612" s="61"/>
      <c r="Z612" s="98"/>
      <c r="AA612" s="98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  <c r="AN612" s="98"/>
      <c r="AO612" s="98"/>
      <c r="AP612" s="84">
        <f>+AP611/AP609</f>
        <v>0.3962210742339537</v>
      </c>
      <c r="AQ612" s="98"/>
      <c r="AR612" s="98"/>
    </row>
    <row r="613" spans="2:61" x14ac:dyDescent="0.3">
      <c r="B613" s="55"/>
      <c r="D613" s="55"/>
      <c r="J613" s="56">
        <f>+J606-J608</f>
        <v>12637.857142857145</v>
      </c>
      <c r="X613" s="61"/>
      <c r="Y613" s="61"/>
      <c r="Z613" s="98"/>
      <c r="AA613" s="98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8"/>
      <c r="AM613" s="98"/>
      <c r="AN613" s="98"/>
      <c r="AO613" s="98"/>
      <c r="AP613" s="98"/>
      <c r="AQ613" s="98"/>
      <c r="AR613" s="98"/>
    </row>
    <row r="614" spans="2:61" x14ac:dyDescent="0.3">
      <c r="B614" s="57"/>
      <c r="D614" s="55"/>
      <c r="X614" s="61"/>
      <c r="Y614" s="61"/>
      <c r="Z614" s="98"/>
      <c r="AA614" s="98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  <c r="AN614" s="98"/>
      <c r="AO614" s="98"/>
      <c r="AP614" s="98"/>
      <c r="AQ614" s="98"/>
      <c r="AR614" s="98"/>
    </row>
    <row r="615" spans="2:61" x14ac:dyDescent="0.3">
      <c r="B615" s="1"/>
      <c r="D615" s="55"/>
      <c r="X615" s="61"/>
      <c r="Y615" s="61"/>
      <c r="Z615" s="98"/>
      <c r="AA615" s="98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  <c r="AN615" s="98"/>
      <c r="AO615" s="98"/>
      <c r="AP615" s="98"/>
      <c r="AQ615" s="98"/>
      <c r="AR615" s="98"/>
    </row>
    <row r="616" spans="2:61" x14ac:dyDescent="0.3">
      <c r="B616" s="1"/>
      <c r="D616" s="55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106"/>
      <c r="AJ616" s="106"/>
      <c r="AK616" s="106"/>
      <c r="AL616" s="106"/>
      <c r="AM616" s="106"/>
      <c r="AN616" s="106"/>
      <c r="AO616" s="106"/>
      <c r="AP616" s="106"/>
      <c r="AQ616" s="106"/>
      <c r="AR616" s="106"/>
    </row>
    <row r="617" spans="2:61" x14ac:dyDescent="0.3">
      <c r="B617" s="1"/>
      <c r="D617" s="55"/>
      <c r="AT617" s="500"/>
      <c r="AU617" s="500"/>
      <c r="AV617" s="500"/>
      <c r="AW617" s="500"/>
      <c r="AX617" s="500"/>
      <c r="AY617" s="500"/>
      <c r="AZ617" s="500"/>
      <c r="BA617" s="500"/>
      <c r="BB617" s="500"/>
      <c r="BC617" s="500"/>
      <c r="BD617" s="500"/>
      <c r="BE617" s="500"/>
      <c r="BF617" s="500"/>
      <c r="BG617" s="500"/>
      <c r="BH617" s="500"/>
      <c r="BI617" s="500"/>
    </row>
    <row r="618" spans="2:61" ht="15.6" x14ac:dyDescent="0.3">
      <c r="B618" s="1"/>
      <c r="D618" s="55"/>
      <c r="AT618" s="500"/>
      <c r="AU618" s="533"/>
      <c r="AV618" s="534"/>
      <c r="AW618" s="534"/>
      <c r="AX618" s="534"/>
      <c r="AY618" s="534"/>
      <c r="AZ618" s="534"/>
      <c r="BA618" s="534"/>
      <c r="BB618" s="534"/>
      <c r="BC618" s="534"/>
      <c r="BD618" s="534"/>
      <c r="BE618" s="534" t="s">
        <v>156</v>
      </c>
      <c r="BF618" s="534"/>
      <c r="BG618" s="534" t="s">
        <v>2</v>
      </c>
      <c r="BH618" s="533"/>
      <c r="BI618" s="500"/>
    </row>
    <row r="619" spans="2:61" ht="16.2" thickBot="1" x14ac:dyDescent="0.35">
      <c r="B619" s="57" t="e">
        <f>+B618/B617</f>
        <v>#DIV/0!</v>
      </c>
      <c r="D619" s="55"/>
      <c r="AT619" s="500"/>
      <c r="AU619" s="533"/>
      <c r="AV619" s="583" t="s">
        <v>155</v>
      </c>
      <c r="AW619" s="583"/>
      <c r="AX619" s="583"/>
      <c r="AY619" s="534"/>
      <c r="AZ619" s="534"/>
      <c r="BA619" s="535" t="s">
        <v>20</v>
      </c>
      <c r="BB619" s="534"/>
      <c r="BC619" s="535" t="s">
        <v>3</v>
      </c>
      <c r="BD619" s="534"/>
      <c r="BE619" s="535" t="s">
        <v>65</v>
      </c>
      <c r="BF619" s="534"/>
      <c r="BG619" s="535" t="s">
        <v>65</v>
      </c>
      <c r="BH619" s="533"/>
      <c r="BI619" s="500"/>
    </row>
    <row r="620" spans="2:61" ht="21" x14ac:dyDescent="0.4">
      <c r="B620" s="1"/>
      <c r="D620" s="55"/>
      <c r="AT620" s="500"/>
      <c r="AU620" s="533"/>
      <c r="AV620" s="536" t="s">
        <v>143</v>
      </c>
      <c r="AW620" s="533"/>
      <c r="AX620" s="537"/>
      <c r="AY620" s="533"/>
      <c r="AZ620" s="533"/>
      <c r="BA620" s="538">
        <f>+N143</f>
        <v>1970617</v>
      </c>
      <c r="BB620" s="537"/>
      <c r="BC620" s="537"/>
      <c r="BD620" s="537"/>
      <c r="BE620" s="537"/>
      <c r="BF620" s="537"/>
      <c r="BG620" s="537"/>
      <c r="BH620" s="533"/>
      <c r="BI620" s="500"/>
    </row>
    <row r="621" spans="2:61" ht="21" x14ac:dyDescent="0.4">
      <c r="B621" s="1"/>
      <c r="D621" s="55"/>
      <c r="AT621" s="500"/>
      <c r="AU621" s="533"/>
      <c r="AV621" s="536" t="s">
        <v>151</v>
      </c>
      <c r="AW621" s="533"/>
      <c r="AX621" s="537"/>
      <c r="AY621" s="533"/>
      <c r="AZ621" s="533"/>
      <c r="BA621" s="538">
        <f>+N174</f>
        <v>1493931</v>
      </c>
      <c r="BB621" s="537"/>
      <c r="BC621" s="538">
        <f>+BA621-BA620</f>
        <v>-476686</v>
      </c>
      <c r="BD621" s="537"/>
      <c r="BE621" s="539">
        <f>+BC621/BA620</f>
        <v>-0.24189682723735764</v>
      </c>
      <c r="BF621" s="537"/>
      <c r="BG621" s="537"/>
      <c r="BH621" s="533"/>
      <c r="BI621" s="500"/>
    </row>
    <row r="622" spans="2:61" ht="21" x14ac:dyDescent="0.4">
      <c r="B622" s="1">
        <f>+B618*50</f>
        <v>0</v>
      </c>
      <c r="D622" s="55"/>
      <c r="AT622" s="500"/>
      <c r="AU622" s="533"/>
      <c r="AV622" s="536" t="s">
        <v>152</v>
      </c>
      <c r="AW622" s="533"/>
      <c r="AX622" s="537"/>
      <c r="AY622" s="533"/>
      <c r="AZ622" s="533"/>
      <c r="BA622" s="538">
        <f>+N204</f>
        <v>1202331</v>
      </c>
      <c r="BB622" s="537"/>
      <c r="BC622" s="538">
        <f>+BA622-BA621</f>
        <v>-291600</v>
      </c>
      <c r="BD622" s="537"/>
      <c r="BE622" s="539">
        <f>+BC622/BA621</f>
        <v>-0.19518973767864781</v>
      </c>
      <c r="BF622" s="537"/>
      <c r="BG622" s="537"/>
      <c r="BH622" s="533"/>
      <c r="BI622" s="500"/>
    </row>
    <row r="623" spans="2:61" ht="21" x14ac:dyDescent="0.4">
      <c r="B623" s="1"/>
      <c r="D623" s="55"/>
      <c r="AT623" s="500"/>
      <c r="AU623" s="533"/>
      <c r="AV623" s="536" t="s">
        <v>153</v>
      </c>
      <c r="AW623" s="533"/>
      <c r="AX623" s="537"/>
      <c r="AY623" s="533"/>
      <c r="AZ623" s="540" t="s">
        <v>26</v>
      </c>
      <c r="BA623" s="538">
        <f>+N218</f>
        <v>371489</v>
      </c>
      <c r="BB623" s="537"/>
      <c r="BC623" s="538">
        <f>+BA623-BA622</f>
        <v>-830842</v>
      </c>
      <c r="BD623" s="537"/>
      <c r="BE623" s="539">
        <f>+BC623/BA622</f>
        <v>-0.69102601529861574</v>
      </c>
      <c r="BF623" s="537"/>
      <c r="BG623" s="539">
        <f>+(BA623-BA620)/BA620</f>
        <v>-0.81148594577231392</v>
      </c>
      <c r="BH623" s="533"/>
      <c r="BI623" s="500"/>
    </row>
    <row r="624" spans="2:61" x14ac:dyDescent="0.3">
      <c r="B624" s="1"/>
      <c r="D624" s="55"/>
      <c r="AT624" s="500"/>
      <c r="AU624" s="533"/>
      <c r="AV624" s="533"/>
      <c r="AW624" s="533"/>
      <c r="AX624" s="533"/>
      <c r="AY624" s="533"/>
      <c r="AZ624" s="533"/>
      <c r="BA624" s="533"/>
      <c r="BB624" s="533"/>
      <c r="BC624" s="533"/>
      <c r="BD624" s="533"/>
      <c r="BE624" s="533"/>
      <c r="BF624" s="533"/>
      <c r="BG624" s="533"/>
      <c r="BH624" s="533"/>
      <c r="BI624" s="500"/>
    </row>
    <row r="625" spans="2:61" ht="16.2" x14ac:dyDescent="0.3">
      <c r="B625" s="1"/>
      <c r="D625" s="55"/>
      <c r="AT625" s="500"/>
      <c r="AU625" s="533"/>
      <c r="AV625" s="533"/>
      <c r="AW625" s="533"/>
      <c r="AX625" s="541" t="s">
        <v>26</v>
      </c>
      <c r="AY625" s="533"/>
      <c r="AZ625" s="542" t="s">
        <v>154</v>
      </c>
      <c r="BA625" s="533"/>
      <c r="BB625" s="533"/>
      <c r="BC625" s="533"/>
      <c r="BD625" s="533"/>
      <c r="BE625" s="533"/>
      <c r="BF625" s="533"/>
      <c r="BG625" s="533"/>
      <c r="BH625" s="533"/>
      <c r="BI625" s="500"/>
    </row>
    <row r="626" spans="2:61" x14ac:dyDescent="0.3">
      <c r="B626" s="1"/>
      <c r="D626" s="55"/>
      <c r="AT626" s="500"/>
      <c r="AU626" s="533"/>
      <c r="AV626" s="533"/>
      <c r="AW626" s="533"/>
      <c r="AX626" s="533"/>
      <c r="AY626" s="533"/>
      <c r="AZ626" s="533"/>
      <c r="BA626" s="533"/>
      <c r="BB626" s="533"/>
      <c r="BC626" s="533"/>
      <c r="BD626" s="533"/>
      <c r="BE626" s="533"/>
      <c r="BF626" s="533"/>
      <c r="BG626" s="533"/>
      <c r="BH626" s="533"/>
      <c r="BI626" s="500"/>
    </row>
    <row r="627" spans="2:61" x14ac:dyDescent="0.3">
      <c r="B627" s="1"/>
      <c r="D627" s="55"/>
      <c r="AT627" s="532"/>
      <c r="AU627" s="532"/>
      <c r="AV627" s="532"/>
      <c r="AW627" s="532"/>
      <c r="AX627" s="532"/>
      <c r="AY627" s="532"/>
      <c r="AZ627" s="532"/>
      <c r="BA627" s="532"/>
      <c r="BB627" s="532"/>
      <c r="BC627" s="532"/>
      <c r="BD627" s="532"/>
      <c r="BE627" s="532"/>
      <c r="BF627" s="532"/>
      <c r="BG627" s="532"/>
      <c r="BH627" s="532"/>
      <c r="BI627" s="532"/>
    </row>
    <row r="628" spans="2:61" x14ac:dyDescent="0.3">
      <c r="B628" s="1"/>
      <c r="D628" s="55"/>
    </row>
    <row r="629" spans="2:61" x14ac:dyDescent="0.3">
      <c r="B629" s="1"/>
      <c r="D629" s="55"/>
      <c r="AS629" s="61"/>
      <c r="AT629" s="500"/>
      <c r="AU629" s="500"/>
      <c r="AV629" s="500"/>
      <c r="AW629" s="500"/>
      <c r="AX629" s="500"/>
      <c r="AY629" s="500"/>
      <c r="AZ629" s="500"/>
      <c r="BA629" s="500"/>
      <c r="BB629" s="500"/>
      <c r="BC629" s="500"/>
      <c r="BD629" s="500"/>
      <c r="BE629" s="500"/>
      <c r="BF629" s="500"/>
      <c r="BG629" s="500"/>
      <c r="BH629" s="500"/>
      <c r="BI629" s="500"/>
    </row>
    <row r="630" spans="2:61" x14ac:dyDescent="0.3">
      <c r="B630" s="1"/>
      <c r="D630" s="55"/>
      <c r="AT630" s="500"/>
      <c r="AU630" s="550"/>
      <c r="AV630" s="550"/>
      <c r="AW630" s="550"/>
      <c r="AX630" s="550"/>
      <c r="AY630" s="550"/>
      <c r="AZ630" s="550"/>
      <c r="BA630" s="550"/>
      <c r="BB630" s="550"/>
      <c r="BC630" s="550"/>
      <c r="BD630" s="550"/>
      <c r="BE630" s="550"/>
      <c r="BF630" s="550"/>
      <c r="BG630" s="550"/>
      <c r="BH630" s="550"/>
      <c r="BI630" s="500"/>
    </row>
    <row r="631" spans="2:61" ht="15" thickBot="1" x14ac:dyDescent="0.35">
      <c r="B631" s="1"/>
      <c r="D631" s="55"/>
      <c r="AT631" s="500"/>
      <c r="AU631" s="550"/>
      <c r="AV631" s="597" t="s">
        <v>160</v>
      </c>
      <c r="AW631" s="597"/>
      <c r="AX631" s="597"/>
      <c r="AY631" s="551"/>
      <c r="AZ631" s="551"/>
      <c r="BA631" s="552" t="s">
        <v>23</v>
      </c>
      <c r="BB631" s="553"/>
      <c r="BC631" s="552" t="s">
        <v>3</v>
      </c>
      <c r="BD631" s="553"/>
      <c r="BE631" s="552" t="s">
        <v>20</v>
      </c>
      <c r="BF631" s="553"/>
      <c r="BG631" s="552" t="s">
        <v>21</v>
      </c>
      <c r="BH631" s="550"/>
      <c r="BI631" s="500"/>
    </row>
    <row r="632" spans="2:61" x14ac:dyDescent="0.3">
      <c r="B632" s="1"/>
      <c r="AT632" s="500"/>
      <c r="AU632" s="550"/>
      <c r="AV632" s="551" t="s">
        <v>143</v>
      </c>
      <c r="AW632" s="551"/>
      <c r="AX632" s="551"/>
      <c r="AY632" s="551"/>
      <c r="AZ632" s="551"/>
      <c r="BA632" s="554">
        <f>+BK275</f>
        <v>13351981</v>
      </c>
      <c r="BB632" s="551"/>
      <c r="BC632" s="551"/>
      <c r="BD632" s="551"/>
      <c r="BE632" s="555">
        <f>+N143</f>
        <v>1970617</v>
      </c>
      <c r="BF632" s="551"/>
      <c r="BG632" s="556">
        <f>+BE632/BA632</f>
        <v>0.14758985951223269</v>
      </c>
      <c r="BH632" s="550"/>
      <c r="BI632" s="500"/>
    </row>
    <row r="633" spans="2:61" x14ac:dyDescent="0.3">
      <c r="B633" s="1"/>
      <c r="AT633" s="500"/>
      <c r="AU633" s="550"/>
      <c r="AV633" s="551"/>
      <c r="AW633" s="551"/>
      <c r="AX633" s="551"/>
      <c r="AY633" s="551"/>
      <c r="AZ633" s="551"/>
      <c r="BA633" s="554"/>
      <c r="BB633" s="551"/>
      <c r="BC633" s="551"/>
      <c r="BD633" s="551"/>
      <c r="BE633" s="551"/>
      <c r="BF633" s="551"/>
      <c r="BG633" s="556"/>
      <c r="BH633" s="550"/>
      <c r="BI633" s="500"/>
    </row>
    <row r="634" spans="2:61" x14ac:dyDescent="0.3">
      <c r="B634" s="1"/>
      <c r="AT634" s="500"/>
      <c r="AU634" s="550"/>
      <c r="AV634" s="551" t="s">
        <v>159</v>
      </c>
      <c r="AW634" s="551"/>
      <c r="AX634" s="551"/>
      <c r="AY634" s="551"/>
      <c r="AZ634" s="551"/>
      <c r="BA634" s="554">
        <v>52440389</v>
      </c>
      <c r="BB634" s="551"/>
      <c r="BC634" s="556">
        <f>+(BA634-BA632)/BA632</f>
        <v>2.9275362210296736</v>
      </c>
      <c r="BD634" s="551"/>
      <c r="BE634" s="555">
        <f>+N273</f>
        <v>1462688</v>
      </c>
      <c r="BF634" s="551"/>
      <c r="BG634" s="556">
        <f>+BE634/BA634</f>
        <v>2.7892394162064665E-2</v>
      </c>
      <c r="BH634" s="550"/>
      <c r="BI634" s="500"/>
    </row>
    <row r="635" spans="2:61" x14ac:dyDescent="0.3">
      <c r="B635" s="1"/>
      <c r="AT635" s="500"/>
      <c r="AU635" s="550"/>
      <c r="AV635" s="551"/>
      <c r="AW635" s="551"/>
      <c r="AX635" s="551"/>
      <c r="AY635" s="551"/>
      <c r="AZ635" s="551"/>
      <c r="BA635" s="554"/>
      <c r="BB635" s="551"/>
      <c r="BC635" s="551"/>
      <c r="BD635" s="551"/>
      <c r="BE635" s="551"/>
      <c r="BF635" s="551"/>
      <c r="BG635" s="551"/>
      <c r="BH635" s="550"/>
      <c r="BI635" s="500"/>
    </row>
    <row r="636" spans="2:61" x14ac:dyDescent="0.3">
      <c r="B636" s="1"/>
      <c r="AT636" s="500"/>
      <c r="AU636" s="550"/>
      <c r="AV636" s="580" t="s">
        <v>105</v>
      </c>
      <c r="AW636" s="580"/>
      <c r="AX636" s="580"/>
      <c r="AY636" s="580"/>
      <c r="AZ636" s="551"/>
      <c r="BA636" s="555">
        <f>+BA634-BA632</f>
        <v>39088408</v>
      </c>
      <c r="BB636" s="551"/>
      <c r="BC636" s="551"/>
      <c r="BD636" s="551"/>
      <c r="BE636" s="555">
        <f>+BE634-BE632</f>
        <v>-507929</v>
      </c>
      <c r="BF636" s="551"/>
      <c r="BG636" s="558"/>
      <c r="BH636" s="550"/>
      <c r="BI636" s="500"/>
    </row>
    <row r="637" spans="2:61" x14ac:dyDescent="0.3">
      <c r="B637" s="1"/>
      <c r="AT637" s="500"/>
      <c r="AU637" s="550"/>
      <c r="AV637" s="550"/>
      <c r="AW637" s="550"/>
      <c r="AX637" s="550"/>
      <c r="AY637" s="550"/>
      <c r="AZ637" s="550"/>
      <c r="BA637" s="550"/>
      <c r="BB637" s="550"/>
      <c r="BC637" s="550"/>
      <c r="BD637" s="550"/>
      <c r="BE637" s="550"/>
      <c r="BF637" s="550"/>
      <c r="BG637" s="550"/>
      <c r="BH637" s="550"/>
      <c r="BI637" s="500"/>
    </row>
    <row r="638" spans="2:61" x14ac:dyDescent="0.3">
      <c r="B638" s="1"/>
      <c r="AT638" s="500"/>
      <c r="AU638" s="500"/>
      <c r="AV638" s="500"/>
      <c r="AW638" s="500"/>
      <c r="AX638" s="500"/>
      <c r="AY638" s="500"/>
      <c r="AZ638" s="500"/>
      <c r="BA638" s="500"/>
      <c r="BB638" s="500"/>
      <c r="BC638" s="500"/>
      <c r="BD638" s="500"/>
      <c r="BE638" s="557"/>
      <c r="BF638" s="500"/>
      <c r="BG638" s="507"/>
      <c r="BH638" s="500"/>
      <c r="BI638" s="500"/>
    </row>
    <row r="639" spans="2:61" x14ac:dyDescent="0.3">
      <c r="B639" s="1"/>
    </row>
    <row r="640" spans="2:61" x14ac:dyDescent="0.3">
      <c r="B640" s="1"/>
    </row>
    <row r="641" spans="2:70" x14ac:dyDescent="0.3">
      <c r="B641" s="1"/>
      <c r="H641" s="1">
        <v>4000000</v>
      </c>
      <c r="AR641" s="500"/>
      <c r="AS641" s="500"/>
      <c r="AT641" s="500"/>
      <c r="AU641" s="500"/>
      <c r="AV641" s="500"/>
      <c r="AW641" s="500"/>
      <c r="AX641" s="500"/>
      <c r="AY641" s="500"/>
      <c r="AZ641" s="500"/>
      <c r="BA641" s="500"/>
      <c r="BB641" s="500"/>
      <c r="BC641" s="500"/>
      <c r="BD641" s="500"/>
      <c r="BE641" s="500"/>
      <c r="BF641" s="500"/>
      <c r="BG641" s="500"/>
      <c r="BH641" s="500"/>
      <c r="BI641" s="500"/>
    </row>
    <row r="642" spans="2:70" ht="15.6" x14ac:dyDescent="0.3">
      <c r="B642" s="1"/>
      <c r="H642" s="1"/>
      <c r="AR642" s="500"/>
      <c r="AS642" s="593" t="s">
        <v>170</v>
      </c>
      <c r="AT642" s="593"/>
      <c r="AU642" s="593"/>
      <c r="AV642" s="593"/>
      <c r="AW642" s="593"/>
      <c r="AX642" s="593"/>
      <c r="AY642" s="593"/>
      <c r="AZ642" s="593"/>
      <c r="BA642" s="593"/>
      <c r="BB642" s="593"/>
      <c r="BC642" s="593"/>
      <c r="BD642" s="593"/>
      <c r="BE642" s="593"/>
      <c r="BF642" s="593"/>
      <c r="BG642" s="593"/>
      <c r="BH642" s="593"/>
      <c r="BI642" s="500"/>
    </row>
    <row r="643" spans="2:70" x14ac:dyDescent="0.3">
      <c r="H643" s="1">
        <f>+H641/7</f>
        <v>571428.57142857148</v>
      </c>
      <c r="AR643" s="500"/>
      <c r="AS643" s="533"/>
      <c r="AT643" s="561"/>
      <c r="AU643" s="561"/>
      <c r="AV643" s="561"/>
      <c r="AW643" s="561"/>
      <c r="AX643" s="561"/>
      <c r="AY643" s="561"/>
      <c r="AZ643" s="561"/>
      <c r="BA643" s="561"/>
      <c r="BB643" s="561"/>
      <c r="BC643" s="561"/>
      <c r="BD643" s="561"/>
      <c r="BE643" s="581" t="s">
        <v>166</v>
      </c>
      <c r="BF643" s="561"/>
      <c r="BG643" s="589" t="s">
        <v>167</v>
      </c>
      <c r="BH643" s="533"/>
      <c r="BI643" s="500"/>
    </row>
    <row r="644" spans="2:70" x14ac:dyDescent="0.3">
      <c r="AR644" s="500"/>
      <c r="AS644" s="533"/>
      <c r="AT644" s="588" t="s">
        <v>19</v>
      </c>
      <c r="AU644" s="588"/>
      <c r="AV644" s="588"/>
      <c r="AW644" s="588"/>
      <c r="AX644" s="588"/>
      <c r="AY644" s="588"/>
      <c r="AZ644" s="561"/>
      <c r="BA644" s="560" t="s">
        <v>20</v>
      </c>
      <c r="BB644" s="561"/>
      <c r="BC644" s="560" t="s">
        <v>165</v>
      </c>
      <c r="BD644" s="561"/>
      <c r="BE644" s="582"/>
      <c r="BF644" s="561"/>
      <c r="BG644" s="585"/>
      <c r="BH644" s="533"/>
      <c r="BI644" s="500"/>
    </row>
    <row r="645" spans="2:70" x14ac:dyDescent="0.3">
      <c r="H645" t="s">
        <v>168</v>
      </c>
      <c r="J645">
        <v>28</v>
      </c>
      <c r="N645" s="1">
        <f>+H643*J645</f>
        <v>16000000.000000002</v>
      </c>
      <c r="AR645" s="500"/>
      <c r="AS645" s="533"/>
      <c r="AT645" s="587" t="s">
        <v>162</v>
      </c>
      <c r="AU645" s="587"/>
      <c r="AV645" s="587"/>
      <c r="AW645" s="587"/>
      <c r="AX645" s="587"/>
      <c r="AY645" s="561"/>
      <c r="AZ645" s="561"/>
      <c r="BA645" s="562">
        <f>+H174</f>
        <v>6826001</v>
      </c>
      <c r="BB645" s="561"/>
      <c r="BC645" s="561">
        <v>10</v>
      </c>
      <c r="BD645" s="561"/>
      <c r="BE645" s="563">
        <f>+BA645*BC645</f>
        <v>68260010</v>
      </c>
      <c r="BF645" s="561"/>
      <c r="BG645" s="561"/>
      <c r="BH645" s="533"/>
      <c r="BI645" s="500"/>
      <c r="BP645" s="56">
        <f>+BE645-BA645</f>
        <v>61434009</v>
      </c>
    </row>
    <row r="646" spans="2:70" x14ac:dyDescent="0.3">
      <c r="D646" s="56">
        <f>+N645+N646</f>
        <v>33714285.714285716</v>
      </c>
      <c r="H646" t="s">
        <v>169</v>
      </c>
      <c r="J646">
        <v>31</v>
      </c>
      <c r="N646" s="1">
        <f>+J646*H$643</f>
        <v>17714285.714285716</v>
      </c>
      <c r="AR646" s="500"/>
      <c r="AS646" s="533"/>
      <c r="AT646" s="587" t="s">
        <v>171</v>
      </c>
      <c r="AU646" s="587"/>
      <c r="AV646" s="587"/>
      <c r="AW646" s="587"/>
      <c r="AX646" s="587"/>
      <c r="AY646" s="561"/>
      <c r="AZ646" s="561"/>
      <c r="BA646" s="562">
        <f>+BA658-BA645</f>
        <v>3109228</v>
      </c>
      <c r="BB646" s="561"/>
      <c r="BC646" s="561">
        <v>5</v>
      </c>
      <c r="BD646" s="561"/>
      <c r="BE646" s="563">
        <f>+BA646*BC646</f>
        <v>15546140</v>
      </c>
      <c r="BF646" s="561"/>
      <c r="BG646" s="561"/>
      <c r="BH646" s="533"/>
      <c r="BI646" s="500"/>
      <c r="BP646" s="56">
        <f>+BE646-BA646</f>
        <v>12436912</v>
      </c>
    </row>
    <row r="647" spans="2:70" x14ac:dyDescent="0.3">
      <c r="D647" s="56">
        <f>+D646+N647</f>
        <v>50857142.857142866</v>
      </c>
      <c r="H647" t="s">
        <v>138</v>
      </c>
      <c r="J647">
        <v>30</v>
      </c>
      <c r="N647" s="1">
        <f>+J647*H$643</f>
        <v>17142857.142857146</v>
      </c>
      <c r="AR647" s="500"/>
      <c r="AS647" s="533"/>
      <c r="AT647" s="587" t="s">
        <v>163</v>
      </c>
      <c r="AU647" s="587"/>
      <c r="AV647" s="587"/>
      <c r="AW647" s="587"/>
      <c r="AX647" s="587"/>
      <c r="AY647" s="587"/>
      <c r="AZ647" s="587"/>
      <c r="BA647" s="562">
        <f>+BA660-BA658</f>
        <v>16784558</v>
      </c>
      <c r="BB647" s="561"/>
      <c r="BC647" s="561">
        <v>1</v>
      </c>
      <c r="BD647" s="561"/>
      <c r="BE647" s="563">
        <f>+BC647*BA647</f>
        <v>16784558</v>
      </c>
      <c r="BF647" s="561"/>
      <c r="BG647" s="561"/>
      <c r="BH647" s="533"/>
      <c r="BI647" s="500"/>
      <c r="BP647" s="56">
        <f>+BE647-BA647</f>
        <v>0</v>
      </c>
    </row>
    <row r="648" spans="2:70" x14ac:dyDescent="0.3">
      <c r="D648" s="56">
        <f>+D647+N648</f>
        <v>68571428.571428582</v>
      </c>
      <c r="H648" t="s">
        <v>139</v>
      </c>
      <c r="J648">
        <v>31</v>
      </c>
      <c r="N648" s="1">
        <f>+J648*H$643</f>
        <v>17714285.714285716</v>
      </c>
      <c r="AR648" s="500"/>
      <c r="AS648" s="533"/>
      <c r="AT648" s="569" t="s">
        <v>183</v>
      </c>
      <c r="AU648" s="561"/>
      <c r="AV648" s="561"/>
      <c r="AW648" s="561"/>
      <c r="AX648" s="561"/>
      <c r="AY648" s="561"/>
      <c r="AZ648" s="561"/>
      <c r="BA648" s="562">
        <f>SUM(D328:D386)</f>
        <v>4197929</v>
      </c>
      <c r="BB648" s="561"/>
      <c r="BC648" s="561">
        <v>1</v>
      </c>
      <c r="BD648" s="561"/>
      <c r="BE648" s="563">
        <f>+BC648*BA648</f>
        <v>4197929</v>
      </c>
      <c r="BF648" s="561"/>
      <c r="BG648" s="561"/>
      <c r="BH648" s="533"/>
      <c r="BI648" s="500"/>
      <c r="BP648" s="56">
        <f>+BE648-BA648</f>
        <v>0</v>
      </c>
    </row>
    <row r="649" spans="2:70" x14ac:dyDescent="0.3">
      <c r="D649" s="56"/>
      <c r="N649" s="1"/>
      <c r="AR649" s="500"/>
      <c r="AS649" s="533"/>
      <c r="AT649" s="569" t="s">
        <v>188</v>
      </c>
      <c r="AU649" s="561"/>
      <c r="AV649" s="561"/>
      <c r="AW649" s="561"/>
      <c r="AX649" s="561"/>
      <c r="AY649" s="561"/>
      <c r="AZ649" s="561"/>
      <c r="BA649" s="562">
        <f>SUM(D387:D509)</f>
        <v>4225210</v>
      </c>
      <c r="BB649" s="561"/>
      <c r="BC649" s="561">
        <v>1</v>
      </c>
      <c r="BD649" s="561"/>
      <c r="BE649" s="563">
        <f>+BC649*BA649</f>
        <v>4225210</v>
      </c>
      <c r="BF649" s="561"/>
      <c r="BG649" s="561"/>
      <c r="BH649" s="533"/>
      <c r="BI649" s="500"/>
      <c r="BP649" s="56"/>
    </row>
    <row r="650" spans="2:70" x14ac:dyDescent="0.3">
      <c r="AR650" s="500"/>
      <c r="AS650" s="533"/>
      <c r="AT650" s="587" t="s">
        <v>189</v>
      </c>
      <c r="AU650" s="587"/>
      <c r="AV650" s="587"/>
      <c r="AW650" s="587"/>
      <c r="AX650" s="587"/>
      <c r="AY650" s="587"/>
      <c r="AZ650" s="587"/>
      <c r="BA650" s="562">
        <f>SUM(D510:D523)</f>
        <v>1367513</v>
      </c>
      <c r="BB650" s="561"/>
      <c r="BC650" s="561"/>
      <c r="BD650" s="561"/>
      <c r="BE650" s="563"/>
      <c r="BF650" s="561"/>
      <c r="BG650" s="561"/>
      <c r="BH650" s="533"/>
      <c r="BI650" s="500"/>
      <c r="BP650" s="56">
        <f>+BA648-BA649</f>
        <v>-27281</v>
      </c>
    </row>
    <row r="651" spans="2:70" ht="15" thickBot="1" x14ac:dyDescent="0.35">
      <c r="D651" s="56">
        <f>+BE651+D648</f>
        <v>177585275.5714286</v>
      </c>
      <c r="H651" s="59">
        <f>+D651/320000000</f>
        <v>0.55495398616071434</v>
      </c>
      <c r="AR651" s="500"/>
      <c r="AS651" s="533"/>
      <c r="AT651" s="561"/>
      <c r="AU651" s="561"/>
      <c r="AV651" s="561"/>
      <c r="AW651" s="561"/>
      <c r="AX651" s="561"/>
      <c r="AY651" s="561"/>
      <c r="AZ651" s="561"/>
      <c r="BA651" s="564">
        <f>SUM(BA645:BA650)</f>
        <v>36510439</v>
      </c>
      <c r="BB651" s="561"/>
      <c r="BC651" s="561"/>
      <c r="BD651" s="561"/>
      <c r="BE651" s="564">
        <f>SUM(BE645:BE650)</f>
        <v>109013847</v>
      </c>
      <c r="BF651" s="561"/>
      <c r="BG651" s="565">
        <f>+BE651/320000000</f>
        <v>0.34066827187499998</v>
      </c>
      <c r="BH651" s="533"/>
      <c r="BI651" s="500"/>
      <c r="BP651" s="59">
        <f>+BP650/BA648</f>
        <v>-6.4986806589630271E-3</v>
      </c>
    </row>
    <row r="652" spans="2:70" ht="15" thickTop="1" x14ac:dyDescent="0.3">
      <c r="D652" s="56"/>
      <c r="H652" s="59"/>
      <c r="AR652" s="500"/>
      <c r="AS652" s="533"/>
      <c r="AT652" s="575" t="s">
        <v>185</v>
      </c>
      <c r="AU652" s="561"/>
      <c r="AV652" s="561"/>
      <c r="AW652" s="561"/>
      <c r="AX652" s="561"/>
      <c r="AY652" s="561"/>
      <c r="AZ652" s="561"/>
      <c r="BA652" s="484">
        <f>+BY672</f>
        <v>0.51297297297297295</v>
      </c>
      <c r="BB652" s="561"/>
      <c r="BC652" s="561"/>
      <c r="BD652" s="561"/>
      <c r="BE652" s="574"/>
      <c r="BF652" s="561"/>
      <c r="BG652" s="484"/>
      <c r="BH652" s="533"/>
      <c r="BI652" s="500"/>
      <c r="BP652" s="59"/>
    </row>
    <row r="653" spans="2:70" x14ac:dyDescent="0.3">
      <c r="D653" s="56"/>
      <c r="H653" s="59"/>
      <c r="AR653" s="500"/>
      <c r="AS653" s="533"/>
      <c r="AT653" s="575" t="s">
        <v>187</v>
      </c>
      <c r="AU653" s="561"/>
      <c r="AV653" s="561"/>
      <c r="AW653" s="561"/>
      <c r="AX653" s="561"/>
      <c r="AY653" s="561"/>
      <c r="AZ653" s="561"/>
      <c r="BA653" s="576">
        <f>+BA651*BA652</f>
        <v>18728868.438378379</v>
      </c>
      <c r="BB653" s="561"/>
      <c r="BC653" s="561"/>
      <c r="BD653" s="561"/>
      <c r="BE653" s="574"/>
      <c r="BF653" s="561"/>
      <c r="BG653" s="484"/>
      <c r="BH653" s="533"/>
      <c r="BI653" s="500"/>
      <c r="BP653" s="59"/>
    </row>
    <row r="654" spans="2:70" ht="15" thickBot="1" x14ac:dyDescent="0.35">
      <c r="D654" s="56"/>
      <c r="H654" s="59"/>
      <c r="AR654" s="500"/>
      <c r="AS654" s="533"/>
      <c r="AT654" s="575" t="s">
        <v>186</v>
      </c>
      <c r="AU654" s="561"/>
      <c r="AV654" s="561"/>
      <c r="AW654" s="561"/>
      <c r="AX654" s="561"/>
      <c r="AY654" s="561"/>
      <c r="AZ654" s="561"/>
      <c r="BA654" s="564">
        <f>+BA651-BA653</f>
        <v>17781570.561621621</v>
      </c>
      <c r="BB654" s="561"/>
      <c r="BC654" s="561"/>
      <c r="BD654" s="561"/>
      <c r="BE654" s="574"/>
      <c r="BF654" s="561"/>
      <c r="BG654" s="484"/>
      <c r="BH654" s="533"/>
      <c r="BI654" s="500"/>
      <c r="BP654" s="59"/>
    </row>
    <row r="655" spans="2:70" ht="15" thickTop="1" x14ac:dyDescent="0.3">
      <c r="AR655" s="500"/>
      <c r="AS655" s="533"/>
      <c r="AT655" s="561"/>
      <c r="AU655" s="561"/>
      <c r="AV655" s="561"/>
      <c r="AW655" s="561"/>
      <c r="AX655" s="561"/>
      <c r="AY655" s="561"/>
      <c r="AZ655" s="561"/>
      <c r="BA655" s="561"/>
      <c r="BB655" s="561"/>
      <c r="BC655" s="561"/>
      <c r="BD655" s="561"/>
      <c r="BE655" s="561"/>
      <c r="BF655" s="561"/>
      <c r="BG655" s="561"/>
      <c r="BH655" s="533"/>
      <c r="BI655" s="500"/>
      <c r="BP655">
        <v>35761323</v>
      </c>
      <c r="BR655" s="56">
        <f>+BA651-BP655</f>
        <v>749116</v>
      </c>
    </row>
    <row r="656" spans="2:70" x14ac:dyDescent="0.3">
      <c r="AR656" s="500"/>
      <c r="AS656" s="500"/>
      <c r="AT656" s="500"/>
      <c r="AU656" s="500"/>
      <c r="AV656" s="500"/>
      <c r="AW656" s="500"/>
      <c r="AX656" s="500"/>
      <c r="AY656" s="500"/>
      <c r="AZ656" s="500"/>
      <c r="BA656" s="500"/>
      <c r="BB656" s="500"/>
      <c r="BC656" s="500"/>
      <c r="BD656" s="500"/>
      <c r="BE656" s="500"/>
      <c r="BF656" s="500"/>
      <c r="BG656" s="500"/>
      <c r="BH656" s="500"/>
      <c r="BI656" s="500"/>
    </row>
    <row r="657" spans="44:90" x14ac:dyDescent="0.3">
      <c r="BP657" s="579">
        <v>221538504.58886749</v>
      </c>
      <c r="BQ657" s="590"/>
      <c r="BR657" s="590"/>
      <c r="BS657" s="590"/>
      <c r="BT657" s="590"/>
    </row>
    <row r="658" spans="44:90" x14ac:dyDescent="0.3">
      <c r="AV658" t="s">
        <v>153</v>
      </c>
      <c r="BA658" s="56">
        <f>+H235</f>
        <v>9935229</v>
      </c>
    </row>
    <row r="660" spans="44:90" x14ac:dyDescent="0.3">
      <c r="AV660" t="s">
        <v>164</v>
      </c>
      <c r="BA660" s="56">
        <f>+H327</f>
        <v>26719787</v>
      </c>
    </row>
    <row r="661" spans="44:90" x14ac:dyDescent="0.3">
      <c r="BA661" s="56"/>
    </row>
    <row r="662" spans="44:90" x14ac:dyDescent="0.3">
      <c r="AR662" s="500"/>
      <c r="AS662" s="500"/>
      <c r="AT662" s="500"/>
      <c r="AU662" s="500"/>
      <c r="AV662" s="500"/>
      <c r="AW662" s="500"/>
      <c r="AX662" s="500"/>
      <c r="AY662" s="500"/>
      <c r="AZ662" s="500"/>
      <c r="BA662" s="557"/>
      <c r="BB662" s="500"/>
      <c r="BC662" s="500"/>
      <c r="BD662" s="500"/>
      <c r="BE662" s="500"/>
      <c r="BF662" s="500"/>
      <c r="BG662" s="500"/>
      <c r="BH662" s="500"/>
      <c r="BI662" s="500"/>
      <c r="BJ662" s="500"/>
      <c r="BK662" s="500"/>
      <c r="BL662" s="500"/>
      <c r="BM662" s="500"/>
      <c r="BN662" s="500"/>
      <c r="BO662" s="500"/>
      <c r="BP662" s="500"/>
      <c r="BQ662" s="500"/>
      <c r="BR662" s="500"/>
      <c r="BS662" s="500"/>
      <c r="BT662" s="500"/>
      <c r="BU662" s="500"/>
      <c r="BV662" s="500"/>
      <c r="BW662" s="500"/>
    </row>
    <row r="663" spans="44:90" ht="14.4" customHeight="1" x14ac:dyDescent="0.3">
      <c r="AR663" s="500"/>
      <c r="AS663" s="533"/>
      <c r="AT663" s="588" t="s">
        <v>176</v>
      </c>
      <c r="AU663" s="588"/>
      <c r="AV663" s="588"/>
      <c r="AW663" s="588"/>
      <c r="AX663" s="588"/>
      <c r="AY663" s="588"/>
      <c r="AZ663" s="588"/>
      <c r="BA663" s="588"/>
      <c r="BB663" s="588"/>
      <c r="BC663" s="588"/>
      <c r="BD663" s="588"/>
      <c r="BE663" s="588"/>
      <c r="BF663" s="588"/>
      <c r="BG663" s="588"/>
      <c r="BH663" s="588"/>
      <c r="BI663" s="588"/>
      <c r="BJ663" s="588"/>
      <c r="BK663" s="588"/>
      <c r="BL663" s="588"/>
      <c r="BM663" s="588"/>
      <c r="BN663" s="588"/>
      <c r="BO663" s="588"/>
      <c r="BP663" s="588"/>
      <c r="BQ663" s="588"/>
      <c r="BR663" s="588"/>
      <c r="BS663" s="588"/>
      <c r="BT663" s="588"/>
      <c r="BU663" s="588"/>
      <c r="BV663" s="588"/>
      <c r="BW663" s="500"/>
    </row>
    <row r="664" spans="44:90" ht="14.4" customHeight="1" x14ac:dyDescent="0.3">
      <c r="AR664" s="500"/>
      <c r="AS664" s="533"/>
      <c r="AT664" s="533"/>
      <c r="AU664" s="533"/>
      <c r="AV664" s="533"/>
      <c r="AW664" s="533"/>
      <c r="AX664" s="533"/>
      <c r="AY664" s="533"/>
      <c r="AZ664" s="533"/>
      <c r="BA664" s="630" t="s">
        <v>172</v>
      </c>
      <c r="BB664" s="630"/>
      <c r="BC664" s="630"/>
      <c r="BD664" s="630"/>
      <c r="BE664" s="630"/>
      <c r="BF664" s="561"/>
      <c r="BG664" s="588" t="s">
        <v>180</v>
      </c>
      <c r="BH664" s="588"/>
      <c r="BI664" s="588"/>
      <c r="BJ664" s="588"/>
      <c r="BK664" s="588"/>
      <c r="BL664" s="588"/>
      <c r="BM664" s="588"/>
      <c r="BN664" s="588"/>
      <c r="BO664" s="588"/>
      <c r="BP664" s="588"/>
      <c r="BQ664" s="533"/>
      <c r="BR664" s="584" t="s">
        <v>176</v>
      </c>
      <c r="BS664" s="584"/>
      <c r="BT664" s="584"/>
      <c r="BU664" s="584"/>
      <c r="BV664" s="584"/>
      <c r="BW664" s="500"/>
    </row>
    <row r="665" spans="44:90" x14ac:dyDescent="0.3">
      <c r="AR665" s="500"/>
      <c r="AS665" s="533"/>
      <c r="AT665" s="533"/>
      <c r="AU665" s="533"/>
      <c r="AV665" s="533"/>
      <c r="AW665" s="533"/>
      <c r="AX665" s="533"/>
      <c r="AY665" s="533"/>
      <c r="AZ665" s="533"/>
      <c r="BA665" s="570" t="s">
        <v>177</v>
      </c>
      <c r="BB665" s="571"/>
      <c r="BC665" s="572" t="s">
        <v>182</v>
      </c>
      <c r="BD665" s="571"/>
      <c r="BE665" s="572" t="s">
        <v>178</v>
      </c>
      <c r="BF665" s="561"/>
      <c r="BG665" s="570"/>
      <c r="BH665" s="571"/>
      <c r="BI665" s="631"/>
      <c r="BJ665" s="631"/>
      <c r="BK665" s="631"/>
      <c r="BL665" s="631"/>
      <c r="BM665" s="631"/>
      <c r="BN665" s="631"/>
      <c r="BO665" s="473"/>
      <c r="BP665" s="572"/>
      <c r="BQ665" s="533"/>
      <c r="BR665" s="585"/>
      <c r="BS665" s="585"/>
      <c r="BT665" s="585"/>
      <c r="BU665" s="585"/>
      <c r="BV665" s="585"/>
      <c r="BW665" s="500"/>
    </row>
    <row r="666" spans="44:90" x14ac:dyDescent="0.3">
      <c r="AR666" s="500"/>
      <c r="AS666" s="533"/>
      <c r="AT666" s="533"/>
      <c r="AU666" s="533"/>
      <c r="AV666" s="533"/>
      <c r="AW666" s="533"/>
      <c r="AX666" s="533"/>
      <c r="AY666" s="533"/>
      <c r="AZ666" s="533"/>
      <c r="BA666" s="568" t="s">
        <v>173</v>
      </c>
      <c r="BB666" s="566"/>
      <c r="BC666" s="568" t="s">
        <v>175</v>
      </c>
      <c r="BD666" s="566"/>
      <c r="BE666" s="568" t="s">
        <v>174</v>
      </c>
      <c r="BF666" s="561"/>
      <c r="BG666" s="567" t="s">
        <v>180</v>
      </c>
      <c r="BH666" s="561"/>
      <c r="BI666" s="619" t="s">
        <v>184</v>
      </c>
      <c r="BJ666" s="619"/>
      <c r="BK666" s="619"/>
      <c r="BL666" s="619"/>
      <c r="BM666" s="619"/>
      <c r="BN666" s="619"/>
      <c r="BO666" s="561"/>
      <c r="BP666" s="568" t="s">
        <v>181</v>
      </c>
      <c r="BQ666" s="533"/>
      <c r="BR666" s="586" t="s">
        <v>179</v>
      </c>
      <c r="BS666" s="586"/>
      <c r="BT666" s="586"/>
      <c r="BU666" s="586"/>
      <c r="BV666" s="586"/>
      <c r="BW666" s="500"/>
    </row>
    <row r="667" spans="44:90" x14ac:dyDescent="0.3">
      <c r="AR667" s="500"/>
      <c r="AS667" s="533"/>
      <c r="AT667" s="587" t="s">
        <v>162</v>
      </c>
      <c r="AU667" s="587"/>
      <c r="AV667" s="587"/>
      <c r="AW667" s="587"/>
      <c r="AX667" s="587"/>
      <c r="AY667" s="561"/>
      <c r="AZ667" s="561"/>
      <c r="BA667" s="562">
        <f>+BA645</f>
        <v>6826001</v>
      </c>
      <c r="BB667" s="561"/>
      <c r="BC667" s="562">
        <f>+BE667-BA667</f>
        <v>61434009</v>
      </c>
      <c r="BD667" s="561"/>
      <c r="BE667" s="562">
        <f>+BE645</f>
        <v>68260010</v>
      </c>
      <c r="BF667" s="533"/>
      <c r="BG667" s="563">
        <v>0</v>
      </c>
      <c r="BH667" s="563"/>
      <c r="BI667" s="563"/>
      <c r="BJ667" s="563"/>
      <c r="BK667" s="563"/>
      <c r="BL667" s="563"/>
      <c r="BM667" s="563"/>
      <c r="BN667" s="563">
        <f>+BG667</f>
        <v>0</v>
      </c>
      <c r="BO667" s="563"/>
      <c r="BP667" s="563">
        <f>+BN667*0.5</f>
        <v>0</v>
      </c>
      <c r="BQ667" s="561"/>
      <c r="BR667" s="579">
        <f t="shared" ref="BR667:BR672" si="3179">+BE667+BP667</f>
        <v>68260010</v>
      </c>
      <c r="BS667" s="590"/>
      <c r="BT667" s="590"/>
      <c r="BU667" s="590"/>
      <c r="BV667" s="590"/>
      <c r="BW667" s="500"/>
      <c r="CA667" s="56">
        <f>+BR667</f>
        <v>68260010</v>
      </c>
    </row>
    <row r="668" spans="44:90" x14ac:dyDescent="0.3">
      <c r="AR668" s="500"/>
      <c r="AS668" s="533"/>
      <c r="AT668" s="587" t="s">
        <v>171</v>
      </c>
      <c r="AU668" s="587"/>
      <c r="AV668" s="587"/>
      <c r="AW668" s="587"/>
      <c r="AX668" s="587"/>
      <c r="AY668" s="561"/>
      <c r="AZ668" s="561"/>
      <c r="BA668" s="562">
        <f>+BA667+BA646</f>
        <v>9935229</v>
      </c>
      <c r="BB668" s="561"/>
      <c r="BC668" s="562">
        <f>+BE668-BA668</f>
        <v>73870921</v>
      </c>
      <c r="BD668" s="561"/>
      <c r="BE668" s="562">
        <f>+BE667+BE646</f>
        <v>83806150</v>
      </c>
      <c r="BF668" s="533"/>
      <c r="BG668" s="563">
        <v>0</v>
      </c>
      <c r="BH668" s="563"/>
      <c r="BI668" s="563"/>
      <c r="BJ668" s="563"/>
      <c r="BK668" s="563"/>
      <c r="BL668" s="563"/>
      <c r="BM668" s="563"/>
      <c r="BN668" s="563">
        <f>+BN667+BG668</f>
        <v>0</v>
      </c>
      <c r="BO668" s="563"/>
      <c r="BP668" s="563">
        <f>+BN668*0.5</f>
        <v>0</v>
      </c>
      <c r="BQ668" s="561"/>
      <c r="BR668" s="579">
        <f t="shared" si="3179"/>
        <v>83806150</v>
      </c>
      <c r="BS668" s="590"/>
      <c r="BT668" s="590"/>
      <c r="BU668" s="590"/>
      <c r="BV668" s="590"/>
      <c r="BW668" s="500"/>
    </row>
    <row r="669" spans="44:90" x14ac:dyDescent="0.3">
      <c r="AR669" s="500"/>
      <c r="AS669" s="533"/>
      <c r="AT669" s="587" t="s">
        <v>163</v>
      </c>
      <c r="AU669" s="587"/>
      <c r="AV669" s="587"/>
      <c r="AW669" s="587"/>
      <c r="AX669" s="587"/>
      <c r="AY669" s="587"/>
      <c r="AZ669" s="587"/>
      <c r="BA669" s="562">
        <f>+BA668+BA647</f>
        <v>26719787</v>
      </c>
      <c r="BB669" s="561"/>
      <c r="BC669" s="562">
        <f>(+BE669-BA669)*(1-0.2)</f>
        <v>59096736.800000004</v>
      </c>
      <c r="BD669" s="561"/>
      <c r="BE669" s="562">
        <f>+BE668+BE647</f>
        <v>100590708</v>
      </c>
      <c r="BF669" s="533"/>
      <c r="BG669" s="563">
        <f>13400000+5660000</f>
        <v>19060000</v>
      </c>
      <c r="BH669" s="563"/>
      <c r="BI669" s="591"/>
      <c r="BJ669" s="591"/>
      <c r="BK669" s="591"/>
      <c r="BL669" s="591"/>
      <c r="BM669" s="591"/>
      <c r="BN669" s="591"/>
      <c r="BO669" s="563"/>
      <c r="BP669" s="563">
        <f>+BG669</f>
        <v>19060000</v>
      </c>
      <c r="BQ669" s="561"/>
      <c r="BR669" s="579">
        <f t="shared" si="3179"/>
        <v>119650708</v>
      </c>
      <c r="BS669" s="590"/>
      <c r="BT669" s="590"/>
      <c r="BU669" s="590"/>
      <c r="BV669" s="590"/>
      <c r="BW669" s="500"/>
    </row>
    <row r="670" spans="44:90" x14ac:dyDescent="0.3">
      <c r="AR670" s="500"/>
      <c r="AS670" s="533"/>
      <c r="AT670" s="569" t="s">
        <v>183</v>
      </c>
      <c r="AU670" s="561"/>
      <c r="AV670" s="561"/>
      <c r="AW670" s="561"/>
      <c r="AX670" s="561"/>
      <c r="AY670" s="561"/>
      <c r="AZ670" s="561"/>
      <c r="BA670" s="562">
        <f>+BA669+BA648</f>
        <v>30917716</v>
      </c>
      <c r="BB670" s="561"/>
      <c r="BC670" s="562">
        <f>(+BE670-BA670)*(1-0.34)</f>
        <v>48754807.859999992</v>
      </c>
      <c r="BD670" s="561"/>
      <c r="BE670" s="562">
        <f>+BE669+BE648</f>
        <v>104788637</v>
      </c>
      <c r="BF670" s="533"/>
      <c r="BG670" s="563">
        <f>53420000-BG669</f>
        <v>34360000</v>
      </c>
      <c r="BH670" s="563"/>
      <c r="BI670" s="591"/>
      <c r="BJ670" s="591"/>
      <c r="BK670" s="591"/>
      <c r="BL670" s="591"/>
      <c r="BM670" s="591"/>
      <c r="BN670" s="591"/>
      <c r="BO670" s="563"/>
      <c r="BP670" s="563">
        <f>+BP669+BG670</f>
        <v>53420000</v>
      </c>
      <c r="BQ670" s="561"/>
      <c r="BR670" s="579">
        <f t="shared" si="3179"/>
        <v>158208637</v>
      </c>
      <c r="BS670" s="590"/>
      <c r="BT670" s="590"/>
      <c r="BU670" s="590"/>
      <c r="BV670" s="590"/>
      <c r="BW670" s="500"/>
    </row>
    <row r="671" spans="44:90" x14ac:dyDescent="0.3">
      <c r="AR671" s="500"/>
      <c r="AS671" s="533"/>
      <c r="AT671" s="569" t="s">
        <v>188</v>
      </c>
      <c r="AU671" s="561"/>
      <c r="AV671" s="561"/>
      <c r="AW671" s="561"/>
      <c r="AX671" s="561"/>
      <c r="AY671" s="561"/>
      <c r="AZ671" s="561"/>
      <c r="BA671" s="562">
        <v>17702720</v>
      </c>
      <c r="BB671" s="561"/>
      <c r="BC671" s="562">
        <v>36659557</v>
      </c>
      <c r="BD671" s="561"/>
      <c r="BE671" s="562">
        <f>+BA671+BC671</f>
        <v>54362277</v>
      </c>
      <c r="BF671" s="533"/>
      <c r="BG671" s="563">
        <f>164760000-BP670</f>
        <v>111340000</v>
      </c>
      <c r="BH671" s="563"/>
      <c r="BI671" s="591"/>
      <c r="BJ671" s="591"/>
      <c r="BK671" s="591"/>
      <c r="BL671" s="591"/>
      <c r="BM671" s="591"/>
      <c r="BN671" s="591"/>
      <c r="BO671" s="563"/>
      <c r="BP671" s="563">
        <f>+BP670+BG671</f>
        <v>164760000</v>
      </c>
      <c r="BQ671" s="561"/>
      <c r="BR671" s="579">
        <f t="shared" si="3179"/>
        <v>219122277</v>
      </c>
      <c r="BS671" s="590"/>
      <c r="BT671" s="590"/>
      <c r="BU671" s="590"/>
      <c r="BV671" s="590"/>
      <c r="BW671" s="500"/>
      <c r="CL671" s="1">
        <v>333000000</v>
      </c>
    </row>
    <row r="672" spans="44:90" x14ac:dyDescent="0.3">
      <c r="AR672" s="500"/>
      <c r="AS672" s="533"/>
      <c r="AT672" s="569" t="s">
        <v>189</v>
      </c>
      <c r="AU672" s="561"/>
      <c r="AV672" s="561"/>
      <c r="AW672" s="561"/>
      <c r="AX672" s="561"/>
      <c r="AY672" s="561"/>
      <c r="AZ672" s="561"/>
      <c r="BA672" s="562">
        <f>+BA654</f>
        <v>17781570.561621621</v>
      </c>
      <c r="BB672" s="561"/>
      <c r="BC672" s="562">
        <f>+BC668*BY672</f>
        <v>37893785.96162162</v>
      </c>
      <c r="BD672" s="561"/>
      <c r="BE672" s="562">
        <f>+BA672+BC672</f>
        <v>55675356.523243241</v>
      </c>
      <c r="BF672" s="533"/>
      <c r="BG672" s="563">
        <f>170820000-BP671</f>
        <v>6060000</v>
      </c>
      <c r="BH672" s="563"/>
      <c r="BI672" s="591"/>
      <c r="BJ672" s="591"/>
      <c r="BK672" s="591"/>
      <c r="BL672" s="591"/>
      <c r="BM672" s="591"/>
      <c r="BN672" s="591"/>
      <c r="BO672" s="563"/>
      <c r="BP672" s="563">
        <f>+BP671+BG672</f>
        <v>170820000</v>
      </c>
      <c r="BQ672" s="561"/>
      <c r="BR672" s="579">
        <f t="shared" si="3179"/>
        <v>226495356.52324325</v>
      </c>
      <c r="BS672" s="579"/>
      <c r="BT672" s="579"/>
      <c r="BU672" s="579"/>
      <c r="BV672" s="579"/>
      <c r="BW672" s="500"/>
      <c r="BY672" s="59">
        <f>+BP672/CL671</f>
        <v>0.51297297297297295</v>
      </c>
      <c r="CL672" s="1"/>
    </row>
    <row r="673" spans="42:90" x14ac:dyDescent="0.3">
      <c r="AR673" s="500"/>
      <c r="AS673" s="500"/>
      <c r="AT673" s="500"/>
      <c r="AU673" s="500"/>
      <c r="AV673" s="500"/>
      <c r="AW673" s="500"/>
      <c r="AX673" s="500"/>
      <c r="AY673" s="500"/>
      <c r="AZ673" s="500"/>
      <c r="BA673" s="500"/>
      <c r="BB673" s="500"/>
      <c r="BC673" s="500"/>
      <c r="BD673" s="500"/>
      <c r="BE673" s="500"/>
      <c r="BF673" s="500"/>
      <c r="BG673" s="500"/>
      <c r="BH673" s="500"/>
      <c r="BI673" s="500"/>
      <c r="BJ673" s="500"/>
      <c r="BK673" s="500"/>
      <c r="BL673" s="500"/>
      <c r="BM673" s="500"/>
      <c r="BN673" s="500"/>
      <c r="BO673" s="500"/>
      <c r="BP673" s="500"/>
      <c r="BQ673" s="500"/>
      <c r="BR673" s="500"/>
      <c r="BS673" s="500"/>
      <c r="BT673" s="500"/>
      <c r="BU673" s="500"/>
      <c r="BV673" s="500"/>
      <c r="BW673" s="500"/>
      <c r="CL673" s="59">
        <f>+BR671/CL671</f>
        <v>0.65802485585585591</v>
      </c>
    </row>
    <row r="675" spans="42:90" x14ac:dyDescent="0.3">
      <c r="BA675" s="56">
        <f>+BR671+BA653</f>
        <v>237851145.43837839</v>
      </c>
      <c r="BC675" s="59">
        <f>+BA675/CL671</f>
        <v>0.71426770401915429</v>
      </c>
      <c r="BE675" s="56"/>
      <c r="BP675" s="1">
        <f>+(BP672-BP671)/2</f>
        <v>3030000</v>
      </c>
      <c r="CL675" s="56">
        <f>+CL671-BR671</f>
        <v>113877723</v>
      </c>
    </row>
    <row r="676" spans="42:90" x14ac:dyDescent="0.3">
      <c r="BP676" s="56">
        <v>1800000</v>
      </c>
    </row>
    <row r="677" spans="42:90" ht="15" thickBot="1" x14ac:dyDescent="0.35">
      <c r="BP677" s="578">
        <f>+BP675-BP676</f>
        <v>1230000</v>
      </c>
    </row>
    <row r="678" spans="42:90" ht="15" thickTop="1" x14ac:dyDescent="0.3">
      <c r="CL678" s="59">
        <f>+BP671/CL671</f>
        <v>0.49477477477477477</v>
      </c>
    </row>
    <row r="680" spans="42:90" x14ac:dyDescent="0.3">
      <c r="BE680" s="500"/>
      <c r="BF680" s="500"/>
      <c r="BG680" s="500"/>
      <c r="BH680" s="500"/>
      <c r="BI680" s="500"/>
      <c r="BJ680" s="500"/>
      <c r="BK680" s="500"/>
      <c r="BL680" s="500"/>
      <c r="BM680" s="500"/>
      <c r="BN680" s="500"/>
      <c r="BO680" s="500"/>
      <c r="BP680" s="500"/>
      <c r="BQ680" s="500"/>
      <c r="BR680" s="500"/>
      <c r="BS680" s="500"/>
      <c r="BT680" s="500"/>
      <c r="BU680" s="500"/>
      <c r="BV680" s="500"/>
      <c r="BW680" s="500"/>
      <c r="BX680" s="500"/>
      <c r="BY680" s="500"/>
    </row>
    <row r="681" spans="42:90" x14ac:dyDescent="0.3">
      <c r="BE681" s="500"/>
      <c r="BF681" s="500"/>
      <c r="BG681" s="500"/>
      <c r="BH681" s="500"/>
      <c r="BI681" s="500"/>
      <c r="BJ681" s="500"/>
      <c r="BK681" s="500"/>
      <c r="BL681" s="500"/>
      <c r="BM681" s="500"/>
      <c r="BN681" s="500"/>
      <c r="BO681" s="500"/>
      <c r="BP681" s="500"/>
      <c r="BQ681" s="500"/>
      <c r="BR681" s="500"/>
      <c r="BS681" s="500"/>
      <c r="BT681" s="500"/>
      <c r="BU681" s="500"/>
      <c r="BV681" s="500"/>
      <c r="BW681" s="500"/>
      <c r="BX681" s="500"/>
      <c r="BY681" s="500"/>
    </row>
    <row r="682" spans="42:90" x14ac:dyDescent="0.3">
      <c r="AP682" s="1">
        <v>1500000</v>
      </c>
      <c r="BE682" s="500"/>
      <c r="BF682" s="500"/>
      <c r="BG682" s="500"/>
      <c r="BH682" s="500"/>
      <c r="BI682" s="500"/>
      <c r="BJ682" s="500"/>
      <c r="BK682" s="500"/>
      <c r="BL682" s="500"/>
      <c r="BM682" s="500"/>
      <c r="BN682" s="500"/>
      <c r="BO682" s="500"/>
      <c r="BP682" s="500"/>
      <c r="BQ682" s="500"/>
      <c r="BR682" s="500"/>
      <c r="BS682" s="500"/>
      <c r="BT682" s="500"/>
      <c r="BU682" s="500"/>
      <c r="BV682" s="500"/>
      <c r="BW682" s="500"/>
      <c r="BX682" s="500"/>
      <c r="BY682" s="500"/>
    </row>
    <row r="683" spans="42:90" x14ac:dyDescent="0.3">
      <c r="AP683">
        <v>7</v>
      </c>
      <c r="BE683" s="500"/>
      <c r="BY683" s="500"/>
      <c r="CL683">
        <v>177090000</v>
      </c>
    </row>
    <row r="684" spans="42:90" x14ac:dyDescent="0.3">
      <c r="AP684" s="1">
        <f>+AP682*AP683</f>
        <v>10500000</v>
      </c>
      <c r="BE684" s="500"/>
      <c r="BY684" s="500"/>
      <c r="CL684" s="231">
        <f>+CL683/CL671</f>
        <v>0.53180180180180181</v>
      </c>
    </row>
    <row r="685" spans="42:90" x14ac:dyDescent="0.3">
      <c r="BE685" s="500"/>
      <c r="BY685" s="500"/>
    </row>
    <row r="686" spans="42:90" x14ac:dyDescent="0.3">
      <c r="BE686" s="500"/>
      <c r="BY686" s="500"/>
    </row>
    <row r="687" spans="42:90" x14ac:dyDescent="0.3">
      <c r="BE687" s="500"/>
      <c r="BY687" s="500"/>
      <c r="CL687" s="56">
        <f>+BR671+27420000</f>
        <v>246542277</v>
      </c>
    </row>
    <row r="688" spans="42:90" x14ac:dyDescent="0.3">
      <c r="BE688" s="500"/>
      <c r="BY688" s="500"/>
    </row>
    <row r="689" spans="57:90" x14ac:dyDescent="0.3">
      <c r="BE689" s="500"/>
      <c r="BY689" s="500"/>
      <c r="CL689" s="59">
        <f>+CL687/CL671</f>
        <v>0.74036719819819818</v>
      </c>
    </row>
    <row r="690" spans="57:90" x14ac:dyDescent="0.3">
      <c r="BE690" s="500"/>
      <c r="BY690" s="500"/>
    </row>
    <row r="691" spans="57:90" x14ac:dyDescent="0.3">
      <c r="BE691" s="500"/>
      <c r="BY691" s="500"/>
    </row>
    <row r="692" spans="57:90" x14ac:dyDescent="0.3">
      <c r="BE692" s="500"/>
      <c r="BY692" s="500"/>
    </row>
    <row r="693" spans="57:90" x14ac:dyDescent="0.3">
      <c r="BE693" s="500"/>
      <c r="BY693" s="500"/>
    </row>
    <row r="694" spans="57:90" x14ac:dyDescent="0.3">
      <c r="BE694" s="500"/>
      <c r="BY694" s="500"/>
    </row>
    <row r="695" spans="57:90" x14ac:dyDescent="0.3">
      <c r="BE695" s="500"/>
      <c r="BY695" s="500"/>
    </row>
    <row r="696" spans="57:90" x14ac:dyDescent="0.3">
      <c r="BE696" s="500"/>
      <c r="BF696" s="500"/>
      <c r="BG696" s="500"/>
      <c r="BH696" s="500"/>
      <c r="BI696" s="500"/>
      <c r="BJ696" s="500"/>
      <c r="BK696" s="500"/>
      <c r="BL696" s="500"/>
      <c r="BM696" s="500"/>
      <c r="BN696" s="500"/>
      <c r="BO696" s="500"/>
      <c r="BP696" s="500"/>
      <c r="BQ696" s="500"/>
      <c r="BR696" s="500"/>
      <c r="BS696" s="500"/>
      <c r="BT696" s="500"/>
      <c r="BU696" s="500"/>
      <c r="BV696" s="500"/>
      <c r="BW696" s="500"/>
      <c r="BX696" s="500"/>
      <c r="BY696" s="500"/>
    </row>
    <row r="697" spans="57:90" x14ac:dyDescent="0.3">
      <c r="BE697" s="500"/>
      <c r="BF697" s="500"/>
      <c r="BG697" s="500"/>
      <c r="BH697" s="500"/>
      <c r="BI697" s="500"/>
      <c r="BJ697" s="500"/>
      <c r="BK697" s="500"/>
      <c r="BL697" s="500"/>
      <c r="BM697" s="500"/>
      <c r="BN697" s="500"/>
      <c r="BO697" s="500"/>
      <c r="BP697" s="500"/>
      <c r="BQ697" s="500"/>
      <c r="BR697" s="500"/>
      <c r="BS697" s="500"/>
      <c r="BT697" s="500"/>
      <c r="BU697" s="500"/>
      <c r="BV697" s="500"/>
      <c r="BW697" s="500"/>
      <c r="BX697" s="500"/>
      <c r="BY697" s="500"/>
    </row>
    <row r="698" spans="57:90" x14ac:dyDescent="0.3">
      <c r="BE698" s="500"/>
      <c r="BF698" s="500"/>
      <c r="BG698" s="500"/>
      <c r="BH698" s="500"/>
      <c r="BI698" s="500"/>
      <c r="BJ698" s="500"/>
      <c r="BK698" s="500"/>
      <c r="BL698" s="500"/>
      <c r="BM698" s="500"/>
      <c r="BN698" s="500"/>
      <c r="BO698" s="500"/>
      <c r="BP698" s="500"/>
      <c r="BQ698" s="500"/>
      <c r="BR698" s="500"/>
      <c r="BS698" s="500"/>
      <c r="BT698" s="500"/>
      <c r="BU698" s="500"/>
      <c r="BV698" s="500"/>
      <c r="BW698" s="500"/>
      <c r="BX698" s="500"/>
      <c r="BY698" s="500"/>
    </row>
    <row r="699" spans="57:90" x14ac:dyDescent="0.3">
      <c r="BE699" s="500"/>
      <c r="BF699" s="500"/>
      <c r="BG699" s="500"/>
      <c r="BH699" s="500"/>
      <c r="BI699" s="500"/>
      <c r="BJ699" s="500"/>
      <c r="BK699" s="500"/>
      <c r="BL699" s="500"/>
      <c r="BM699" s="500"/>
      <c r="BN699" s="500"/>
      <c r="BO699" s="500"/>
      <c r="BP699" s="500"/>
      <c r="BQ699" s="500"/>
      <c r="BR699" s="500"/>
      <c r="BS699" s="500"/>
      <c r="BT699" s="500"/>
      <c r="BU699" s="500"/>
      <c r="BV699" s="500"/>
      <c r="BW699" s="500"/>
      <c r="BX699" s="500"/>
      <c r="BY699" s="500"/>
    </row>
    <row r="700" spans="57:90" x14ac:dyDescent="0.3">
      <c r="BE700" s="500"/>
      <c r="BF700" s="500"/>
      <c r="BG700" s="500"/>
      <c r="BH700" s="500"/>
      <c r="BI700" s="500"/>
      <c r="BJ700" s="500"/>
      <c r="BK700" s="500"/>
      <c r="BL700" s="500"/>
      <c r="BM700" s="500"/>
      <c r="BN700" s="500"/>
      <c r="BO700" s="500"/>
      <c r="BP700" s="500"/>
      <c r="BQ700" s="500"/>
      <c r="BR700" s="500"/>
      <c r="BS700" s="500"/>
      <c r="BT700" s="500"/>
      <c r="BU700" s="500"/>
      <c r="BV700" s="500"/>
      <c r="BW700" s="500"/>
      <c r="BX700" s="500"/>
      <c r="BY700" s="500"/>
    </row>
    <row r="701" spans="57:90" x14ac:dyDescent="0.3">
      <c r="BE701" s="500"/>
      <c r="BF701" s="500"/>
      <c r="BG701" s="500"/>
      <c r="BH701" s="500"/>
      <c r="BI701" s="500"/>
      <c r="BJ701" s="500"/>
      <c r="BK701" s="500"/>
      <c r="BL701" s="500"/>
      <c r="BM701" s="500"/>
      <c r="BN701" s="500"/>
      <c r="BO701" s="500"/>
      <c r="BP701" s="500"/>
      <c r="BQ701" s="500"/>
      <c r="BR701" s="500"/>
      <c r="BS701" s="500"/>
      <c r="BT701" s="500"/>
      <c r="BU701" s="500"/>
      <c r="BV701" s="500"/>
      <c r="BW701" s="500"/>
      <c r="BX701" s="500"/>
      <c r="BY701" s="500"/>
    </row>
    <row r="702" spans="57:90" x14ac:dyDescent="0.3">
      <c r="BE702" s="500"/>
      <c r="BF702" s="500"/>
      <c r="BG702" s="500"/>
      <c r="BH702" s="500"/>
      <c r="BI702" s="500"/>
      <c r="BJ702" s="500"/>
      <c r="BK702" s="500"/>
      <c r="BL702" s="500"/>
      <c r="BM702" s="500"/>
      <c r="BN702" s="500"/>
      <c r="BO702" s="500"/>
      <c r="BP702" s="500"/>
      <c r="BQ702" s="500"/>
      <c r="BR702" s="500"/>
      <c r="BS702" s="500"/>
      <c r="BT702" s="500"/>
      <c r="BU702" s="500"/>
      <c r="BV702" s="500"/>
      <c r="BW702" s="500"/>
      <c r="BX702" s="500"/>
      <c r="BY702" s="500"/>
    </row>
    <row r="703" spans="57:90" x14ac:dyDescent="0.3">
      <c r="BE703" s="500"/>
      <c r="BF703" s="500"/>
      <c r="BG703" s="500"/>
      <c r="BH703" s="500"/>
      <c r="BI703" s="500"/>
      <c r="BJ703" s="500"/>
      <c r="BK703" s="500"/>
      <c r="BL703" s="500"/>
      <c r="BM703" s="500"/>
      <c r="BN703" s="500"/>
      <c r="BO703" s="500"/>
      <c r="BP703" s="500"/>
      <c r="BQ703" s="500"/>
      <c r="BR703" s="500"/>
      <c r="BS703" s="500"/>
      <c r="BT703" s="500"/>
      <c r="BU703" s="500"/>
      <c r="BV703" s="500"/>
      <c r="BW703" s="500"/>
      <c r="BX703" s="500"/>
      <c r="BY703" s="500"/>
    </row>
  </sheetData>
  <mergeCells count="60">
    <mergeCell ref="BR668:BV668"/>
    <mergeCell ref="BR669:BV669"/>
    <mergeCell ref="BR671:BV671"/>
    <mergeCell ref="BI670:BN670"/>
    <mergeCell ref="BR670:BV670"/>
    <mergeCell ref="BI669:BN669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572:AN572"/>
    <mergeCell ref="AK582:AN582"/>
    <mergeCell ref="AV631:AX631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571:AV571"/>
    <mergeCell ref="AK573:AN573"/>
    <mergeCell ref="AK574:AN574"/>
    <mergeCell ref="AK575:AN575"/>
    <mergeCell ref="AK576:AN576"/>
    <mergeCell ref="AS642:BH642"/>
    <mergeCell ref="H604:J604"/>
    <mergeCell ref="AK581:AN581"/>
    <mergeCell ref="BI672:BN672"/>
    <mergeCell ref="AT667:AX667"/>
    <mergeCell ref="AT668:AX668"/>
    <mergeCell ref="AT669:AZ669"/>
    <mergeCell ref="BA664:BE664"/>
    <mergeCell ref="BG664:BP664"/>
    <mergeCell ref="BI666:BN666"/>
    <mergeCell ref="BI665:BN665"/>
    <mergeCell ref="BR672:BV672"/>
    <mergeCell ref="AV636:AY636"/>
    <mergeCell ref="BE643:BE644"/>
    <mergeCell ref="AV619:AX619"/>
    <mergeCell ref="BR664:BV665"/>
    <mergeCell ref="BR666:BV666"/>
    <mergeCell ref="AT646:AX646"/>
    <mergeCell ref="AT650:AZ650"/>
    <mergeCell ref="AT644:AY644"/>
    <mergeCell ref="AT647:AZ647"/>
    <mergeCell ref="AT663:BV663"/>
    <mergeCell ref="BG643:BG644"/>
    <mergeCell ref="AT645:AX645"/>
    <mergeCell ref="BP657:BT657"/>
    <mergeCell ref="BI671:BN671"/>
    <mergeCell ref="BR667:BV667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577:AP579 AR577:AR57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568"/>
  <sheetViews>
    <sheetView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2" t="s">
        <v>7</v>
      </c>
      <c r="F7" s="633"/>
      <c r="G7" s="637">
        <v>0.7</v>
      </c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8"/>
    </row>
    <row r="8" spans="3:40" x14ac:dyDescent="0.3">
      <c r="E8" s="634" t="s">
        <v>110</v>
      </c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635"/>
      <c r="T8" s="635"/>
      <c r="U8" s="636"/>
    </row>
    <row r="9" spans="3:40" x14ac:dyDescent="0.3">
      <c r="E9" s="652" t="s">
        <v>35</v>
      </c>
      <c r="F9" s="653"/>
      <c r="G9" s="653"/>
      <c r="H9" s="653"/>
      <c r="I9" s="653"/>
      <c r="J9" s="653"/>
      <c r="K9" s="653"/>
      <c r="L9" s="653"/>
      <c r="M9" s="653"/>
      <c r="N9" s="653"/>
      <c r="O9" s="653"/>
      <c r="P9" s="654"/>
      <c r="Q9" s="650" t="s">
        <v>103</v>
      </c>
      <c r="R9" s="5"/>
      <c r="S9" s="647" t="s">
        <v>4</v>
      </c>
      <c r="T9" s="648"/>
      <c r="U9" s="649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1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4" t="s">
        <v>46</v>
      </c>
      <c r="AE14" s="645"/>
      <c r="AF14" s="646"/>
      <c r="AG14" s="193"/>
      <c r="AH14" s="642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3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+K556</f>
        <v>3832159</v>
      </c>
      <c r="AG16" s="187"/>
      <c r="AH16" s="201">
        <f>+AJ31</f>
        <v>60399.494390868997</v>
      </c>
      <c r="AI16" s="201"/>
      <c r="AJ16" s="202">
        <f>+S556</f>
        <v>90138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777022</v>
      </c>
      <c r="AG17" s="188"/>
      <c r="AH17" s="149">
        <v>11273</v>
      </c>
      <c r="AI17" s="201"/>
      <c r="AJ17" s="148">
        <v>18349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1346619</v>
      </c>
      <c r="AG18" s="188"/>
      <c r="AH18" s="149">
        <v>10519</v>
      </c>
      <c r="AI18" s="201"/>
      <c r="AJ18" s="148">
        <v>28546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5955800</v>
      </c>
      <c r="AG19" s="188"/>
      <c r="AH19" s="188"/>
      <c r="AI19" s="188"/>
      <c r="AJ19" s="206">
        <f>SUM(AJ16:AJ18)</f>
        <v>137033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Table'!H558</f>
        <v>0.14872876585840006</v>
      </c>
      <c r="AG21" s="188"/>
      <c r="AH21" s="188"/>
      <c r="AI21" s="188"/>
      <c r="AJ21" s="208">
        <f>+AJ19/'Main Table'!AA558</f>
        <v>0.21202429801271219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4" t="s">
        <v>120</v>
      </c>
      <c r="AB25" s="645"/>
      <c r="AC25" s="645"/>
      <c r="AD25" s="645"/>
      <c r="AE25" s="645"/>
      <c r="AF25" s="645"/>
      <c r="AG25" s="645"/>
      <c r="AH25" s="645"/>
      <c r="AI25" s="645"/>
      <c r="AJ25" s="645"/>
      <c r="AK25" s="646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+E556</f>
        <v>2335720</v>
      </c>
      <c r="AE27" s="155"/>
      <c r="AF27" s="186">
        <v>12007</v>
      </c>
      <c r="AG27" s="155"/>
      <c r="AH27" s="177">
        <f>+AD27/AD$31</f>
        <v>0.50675380289903993</v>
      </c>
      <c r="AI27" s="177"/>
      <c r="AJ27" s="155">
        <f>+AF27*AH27</f>
        <v>6084.5929114087721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+G556</f>
        <v>1117506</v>
      </c>
      <c r="AE28" s="155"/>
      <c r="AF28" s="186">
        <v>212581</v>
      </c>
      <c r="AG28" s="155"/>
      <c r="AH28" s="177">
        <f>+AD28/AD$31</f>
        <v>0.24245218402141291</v>
      </c>
      <c r="AI28" s="177"/>
      <c r="AJ28" s="155">
        <f>+AF28*AH28</f>
        <v>51540.727731455976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+I556</f>
        <v>378933</v>
      </c>
      <c r="AE29" s="155"/>
      <c r="AF29" s="186">
        <v>10628</v>
      </c>
      <c r="AG29" s="155"/>
      <c r="AH29" s="177">
        <f>+AD29/AD$31</f>
        <v>8.2212653397642665E-2</v>
      </c>
      <c r="AI29" s="177"/>
      <c r="AJ29" s="155">
        <f>+AF29*AH29</f>
        <v>873.75608031014622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777022</v>
      </c>
      <c r="AE30" s="237"/>
      <c r="AF30" s="155">
        <f>+AH17</f>
        <v>11273</v>
      </c>
      <c r="AG30" s="237"/>
      <c r="AH30" s="177">
        <f>+AD30/AD$31</f>
        <v>0.16858135968190444</v>
      </c>
      <c r="AI30" s="237"/>
      <c r="AJ30" s="155">
        <f>+AF30*AH30</f>
        <v>1900.4176676941088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4609181</v>
      </c>
      <c r="AE31" s="155"/>
      <c r="AF31" s="155"/>
      <c r="AG31" s="155"/>
      <c r="AH31" s="180">
        <f>SUM(AH27:AH30)</f>
        <v>0.99999999999999989</v>
      </c>
      <c r="AI31" s="177"/>
      <c r="AJ31" s="179">
        <f>SUM(AJ27:AJ30)</f>
        <v>60399.494390868997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9" t="s">
        <v>29</v>
      </c>
      <c r="AB36" s="640"/>
      <c r="AC36" s="640"/>
      <c r="AD36" s="640"/>
      <c r="AE36" s="640"/>
      <c r="AF36" s="640"/>
      <c r="AG36" s="640"/>
      <c r="AH36" s="640"/>
      <c r="AI36" s="641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Table'!AA558</f>
        <v>646308</v>
      </c>
      <c r="AJ49" s="56">
        <f>+AJ19</f>
        <v>137033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137033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509275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213895.5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295379.5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0.45702590715262692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" si="80">SUM(E441:I441)</f>
        <v>3457181</v>
      </c>
      <c r="L441" s="6"/>
      <c r="M441" s="438">
        <f t="shared" ref="M441" si="81">+(K441-K440)/K440</f>
        <v>4.1930334875505391E-4</v>
      </c>
      <c r="N441" s="29"/>
      <c r="O441" s="29"/>
      <c r="P441" s="29"/>
      <c r="Q441" s="332">
        <f t="shared" ref="Q441" si="82">+K441-K440</f>
        <v>1449</v>
      </c>
      <c r="R441" s="6"/>
      <c r="S441" s="7">
        <f>53164+26100+8219</f>
        <v>87483</v>
      </c>
      <c r="T441" s="6"/>
      <c r="U441" s="243">
        <f t="shared" ref="U441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ref="K442" si="84">SUM(E442:I442)</f>
        <v>3458671</v>
      </c>
      <c r="L442" s="6"/>
      <c r="M442" s="438">
        <f t="shared" ref="M442" si="85">+(K442-K441)/K441</f>
        <v>4.3098698043290181E-4</v>
      </c>
      <c r="N442" s="29"/>
      <c r="O442" s="29"/>
      <c r="P442" s="29"/>
      <c r="Q442" s="332">
        <f t="shared" ref="Q442" si="86">+K442-K441</f>
        <v>1490</v>
      </c>
      <c r="R442" s="6"/>
      <c r="S442" s="7">
        <f>53181+26124+8221</f>
        <v>87526</v>
      </c>
      <c r="T442" s="6"/>
      <c r="U442" s="243">
        <f t="shared" ref="U442" si="87">+S442/K442</f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ref="K443" si="88">SUM(E443:I443)</f>
        <v>3460052</v>
      </c>
      <c r="L443" s="6"/>
      <c r="M443" s="438">
        <f t="shared" ref="M443" si="89">+(K443-K442)/K442</f>
        <v>3.9928631546625858E-4</v>
      </c>
      <c r="N443" s="29"/>
      <c r="O443" s="29"/>
      <c r="P443" s="29"/>
      <c r="Q443" s="332">
        <f t="shared" ref="Q443" si="90">+K443-K442</f>
        <v>1381</v>
      </c>
      <c r="R443" s="6"/>
      <c r="S443" s="7">
        <f>53208+26159+8227</f>
        <v>87594</v>
      </c>
      <c r="T443" s="6"/>
      <c r="U443" s="243">
        <f t="shared" ref="U443" si="91">+S443/K443</f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ref="K444" si="92">SUM(E444:I444)</f>
        <v>3461751</v>
      </c>
      <c r="L444" s="6"/>
      <c r="M444" s="438">
        <f t="shared" ref="M444" si="93">+(K444-K443)/K443</f>
        <v>4.9103308273979699E-4</v>
      </c>
      <c r="N444" s="29"/>
      <c r="O444" s="29"/>
      <c r="P444" s="29"/>
      <c r="Q444" s="332">
        <f t="shared" ref="Q444" si="94">+K444-K443</f>
        <v>1699</v>
      </c>
      <c r="R444" s="6"/>
      <c r="S444" s="7">
        <f>53229+26173+8230</f>
        <v>87632</v>
      </c>
      <c r="T444" s="6"/>
      <c r="U444" s="243">
        <f t="shared" ref="U444" si="95">+S444/K444</f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ref="K445" si="96">SUM(E445:I445)</f>
        <v>3463158</v>
      </c>
      <c r="L445" s="6"/>
      <c r="M445" s="438">
        <f t="shared" ref="M445" si="97">+(K445-K444)/K444</f>
        <v>4.0644171114560232E-4</v>
      </c>
      <c r="N445" s="29"/>
      <c r="O445" s="29"/>
      <c r="P445" s="29"/>
      <c r="Q445" s="332">
        <f t="shared" ref="Q445" si="98">+K445-K444</f>
        <v>1407</v>
      </c>
      <c r="R445" s="6"/>
      <c r="S445" s="7">
        <f>53255+26185+8238</f>
        <v>87678</v>
      </c>
      <c r="T445" s="6"/>
      <c r="U445" s="243">
        <f t="shared" ref="U445" si="99">+S445/K445</f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ref="K446" si="100">SUM(E446:I446)</f>
        <v>3464285</v>
      </c>
      <c r="L446" s="6"/>
      <c r="M446" s="438">
        <f t="shared" ref="M446" si="101">+(K446-K445)/K445</f>
        <v>3.2542552202354034E-4</v>
      </c>
      <c r="N446" s="29"/>
      <c r="O446" s="29"/>
      <c r="P446" s="29"/>
      <c r="Q446" s="332">
        <f t="shared" ref="Q446" si="102">+K446-K445</f>
        <v>1127</v>
      </c>
      <c r="R446" s="6"/>
      <c r="S446" s="7">
        <f>53269+26201+8238</f>
        <v>87708</v>
      </c>
      <c r="T446" s="6"/>
      <c r="U446" s="243">
        <f t="shared" ref="U446" si="103">+S446/K446</f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ref="K447" si="104">SUM(E447:I447)</f>
        <v>3465351</v>
      </c>
      <c r="L447" s="6"/>
      <c r="M447" s="438">
        <f t="shared" ref="M447" si="105">+(K447-K446)/K446</f>
        <v>3.0771140365183582E-4</v>
      </c>
      <c r="N447" s="29"/>
      <c r="O447" s="29"/>
      <c r="P447" s="29"/>
      <c r="Q447" s="332">
        <f t="shared" ref="Q447" si="106">+K447-K446</f>
        <v>1066</v>
      </c>
      <c r="R447" s="6"/>
      <c r="S447" s="7">
        <f>53285+26207+8238</f>
        <v>87730</v>
      </c>
      <c r="T447" s="6"/>
      <c r="U447" s="243">
        <f t="shared" ref="U447" si="107">+S447/K447</f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ref="K448" si="108">SUM(E448:I448)</f>
        <v>3466077</v>
      </c>
      <c r="L448" s="6"/>
      <c r="M448" s="438">
        <f t="shared" ref="M448" si="109">+(K448-K447)/K447</f>
        <v>2.0950258718380909E-4</v>
      </c>
      <c r="N448" s="29"/>
      <c r="O448" s="29"/>
      <c r="P448" s="29"/>
      <c r="Q448" s="332">
        <f t="shared" ref="Q448" si="110">+K448-K447</f>
        <v>726</v>
      </c>
      <c r="R448" s="6"/>
      <c r="S448" s="7">
        <f>53303+26212+8238</f>
        <v>87753</v>
      </c>
      <c r="T448" s="6"/>
      <c r="U448" s="243">
        <f t="shared" ref="U448" si="111">+S448/K448</f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ref="K449" si="112">SUM(E449:I449)</f>
        <v>3466922</v>
      </c>
      <c r="L449" s="6"/>
      <c r="M449" s="438">
        <f t="shared" ref="M449" si="113">+(K449-K448)/K448</f>
        <v>2.4379146799104578E-4</v>
      </c>
      <c r="N449" s="29"/>
      <c r="O449" s="29"/>
      <c r="P449" s="29"/>
      <c r="Q449" s="332">
        <f t="shared" ref="Q449" si="114">+K449-K448</f>
        <v>845</v>
      </c>
      <c r="R449" s="6"/>
      <c r="S449" s="7">
        <f>53329+26219+8244</f>
        <v>87792</v>
      </c>
      <c r="T449" s="6"/>
      <c r="U449" s="243">
        <f t="shared" ref="U449" si="115">+S449/K449</f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ref="K450" si="116">SUM(E450:I450)</f>
        <v>3467710</v>
      </c>
      <c r="L450" s="6"/>
      <c r="M450" s="438">
        <f t="shared" ref="M450" si="117">+(K450-K449)/K449</f>
        <v>2.2729095145492169E-4</v>
      </c>
      <c r="N450" s="29"/>
      <c r="O450" s="29"/>
      <c r="P450" s="29"/>
      <c r="Q450" s="332">
        <f t="shared" ref="Q450" si="118">+K450-K449</f>
        <v>788</v>
      </c>
      <c r="R450" s="6"/>
      <c r="S450" s="7">
        <f>53338+26247+8247</f>
        <v>87832</v>
      </c>
      <c r="T450" s="6"/>
      <c r="U450" s="243">
        <f t="shared" ref="U450" si="119">+S450/K450</f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ref="K451" si="120">SUM(E451:I451)</f>
        <v>3468560</v>
      </c>
      <c r="L451" s="6"/>
      <c r="M451" s="438">
        <f t="shared" ref="M451" si="121">+(K451-K450)/K450</f>
        <v>2.4511853644047511E-4</v>
      </c>
      <c r="N451" s="29"/>
      <c r="O451" s="29"/>
      <c r="P451" s="29"/>
      <c r="Q451" s="332">
        <f t="shared" ref="Q451" si="122">+K451-K450</f>
        <v>850</v>
      </c>
      <c r="R451" s="6"/>
      <c r="S451" s="7">
        <f>53357+26253+8245</f>
        <v>87855</v>
      </c>
      <c r="T451" s="6"/>
      <c r="U451" s="243">
        <f t="shared" ref="U451" si="123">+S451/K451</f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ref="K452" si="124">SUM(E452:I452)</f>
        <v>3469548</v>
      </c>
      <c r="L452" s="6"/>
      <c r="M452" s="438">
        <f t="shared" ref="M452" si="125">+(K452-K451)/K451</f>
        <v>2.8484443111838917E-4</v>
      </c>
      <c r="N452" s="29"/>
      <c r="O452" s="29"/>
      <c r="P452" s="29"/>
      <c r="Q452" s="332">
        <f t="shared" ref="Q452" si="126">+K452-K451</f>
        <v>988</v>
      </c>
      <c r="R452" s="6"/>
      <c r="S452" s="7">
        <f>53416+26265+8246</f>
        <v>87927</v>
      </c>
      <c r="T452" s="6"/>
      <c r="U452" s="243">
        <f t="shared" ref="U452" si="127">+S452/K452</f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ref="K453" si="128">SUM(E453:I453)</f>
        <v>3470961</v>
      </c>
      <c r="L453" s="6"/>
      <c r="M453" s="438">
        <f t="shared" ref="M453" si="129">+(K453-K452)/K452</f>
        <v>4.0725766007560638E-4</v>
      </c>
      <c r="N453" s="29"/>
      <c r="O453" s="29"/>
      <c r="P453" s="29"/>
      <c r="Q453" s="332">
        <f t="shared" ref="Q453" si="130">+K453-K452</f>
        <v>1413</v>
      </c>
      <c r="R453" s="6"/>
      <c r="S453" s="7">
        <f>53429+26273+8246</f>
        <v>87948</v>
      </c>
      <c r="T453" s="6"/>
      <c r="U453" s="243">
        <f t="shared" ref="U453" si="131">+S453/K453</f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ref="K454" si="132">SUM(E454:I454)</f>
        <v>3471677</v>
      </c>
      <c r="L454" s="6"/>
      <c r="M454" s="438">
        <f t="shared" ref="M454" si="133">+(K454-K453)/K453</f>
        <v>2.0628292856070696E-4</v>
      </c>
      <c r="N454" s="29"/>
      <c r="O454" s="29"/>
      <c r="P454" s="29"/>
      <c r="Q454" s="332">
        <f t="shared" ref="Q454" si="134">+K454-K453</f>
        <v>716</v>
      </c>
      <c r="R454" s="6"/>
      <c r="S454" s="7">
        <f>53462+26279+8246</f>
        <v>87987</v>
      </c>
      <c r="T454" s="6"/>
      <c r="U454" s="243">
        <f t="shared" ref="U454" si="135">+S454/K454</f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ref="K455" si="136">SUM(E455:I455)</f>
        <v>3472461</v>
      </c>
      <c r="L455" s="6"/>
      <c r="M455" s="438">
        <f t="shared" ref="M455" si="137">+(K455-K454)/K454</f>
        <v>2.2582746033113105E-4</v>
      </c>
      <c r="N455" s="29"/>
      <c r="O455" s="29"/>
      <c r="P455" s="29"/>
      <c r="Q455" s="332">
        <f t="shared" ref="Q455" si="138">+K455-K454</f>
        <v>784</v>
      </c>
      <c r="R455" s="6"/>
      <c r="S455" s="7">
        <f>53462+26279+8246</f>
        <v>87987</v>
      </c>
      <c r="T455" s="6"/>
      <c r="U455" s="243">
        <f t="shared" ref="U455" si="139">+S455/K455</f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ref="K456" si="140">SUM(E456:I456)</f>
        <v>3473313</v>
      </c>
      <c r="L456" s="6"/>
      <c r="M456" s="438">
        <f t="shared" ref="M456" si="141">+(K456-K455)/K455</f>
        <v>2.4535912714354461E-4</v>
      </c>
      <c r="N456" s="29"/>
      <c r="O456" s="29"/>
      <c r="P456" s="29"/>
      <c r="Q456" s="332">
        <f t="shared" ref="Q456" si="142">+K456-K455</f>
        <v>852</v>
      </c>
      <c r="R456" s="6"/>
      <c r="S456" s="7">
        <f>53483+26285+8255</f>
        <v>88023</v>
      </c>
      <c r="T456" s="6"/>
      <c r="U456" s="243">
        <f t="shared" ref="U456" si="143">+S456/K456</f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ref="K457" si="144">SUM(E457:I457)</f>
        <v>3474042</v>
      </c>
      <c r="L457" s="6"/>
      <c r="M457" s="438">
        <f t="shared" ref="M457" si="145">+(K457-K456)/K456</f>
        <v>2.0988606555182328E-4</v>
      </c>
      <c r="N457" s="29"/>
      <c r="O457" s="29"/>
      <c r="P457" s="29"/>
      <c r="Q457" s="332">
        <f t="shared" ref="Q457" si="146">+K457-K456</f>
        <v>729</v>
      </c>
      <c r="R457" s="6"/>
      <c r="S457" s="7">
        <f>53492+26316+8257</f>
        <v>88065</v>
      </c>
      <c r="T457" s="6"/>
      <c r="U457" s="243">
        <f t="shared" ref="U457" si="147">+S457/K457</f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ref="K458" si="148">SUM(E458:I458)</f>
        <v>3475000</v>
      </c>
      <c r="L458" s="6"/>
      <c r="M458" s="438">
        <f t="shared" ref="M458" si="149">+(K458-K457)/K457</f>
        <v>2.7575947556189589E-4</v>
      </c>
      <c r="N458" s="29"/>
      <c r="O458" s="29"/>
      <c r="P458" s="29"/>
      <c r="Q458" s="332">
        <f t="shared" ref="Q458" si="150">+K458-K457</f>
        <v>958</v>
      </c>
      <c r="R458" s="6"/>
      <c r="S458" s="7">
        <f>53492+26316+8257</f>
        <v>88065</v>
      </c>
      <c r="T458" s="6"/>
      <c r="U458" s="243">
        <f t="shared" ref="U458" si="151">+S458/K458</f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ref="K459" si="152">SUM(E459:I459)</f>
        <v>3475967</v>
      </c>
      <c r="L459" s="6"/>
      <c r="M459" s="438">
        <f t="shared" ref="M459" si="153">+(K459-K458)/K458</f>
        <v>2.7827338129496402E-4</v>
      </c>
      <c r="N459" s="29"/>
      <c r="O459" s="29"/>
      <c r="P459" s="29"/>
      <c r="Q459" s="332">
        <f t="shared" ref="Q459" si="154">+K459-K458</f>
        <v>967</v>
      </c>
      <c r="R459" s="6"/>
      <c r="S459" s="7">
        <f>53522+26324+8261</f>
        <v>88107</v>
      </c>
      <c r="T459" s="6"/>
      <c r="U459" s="243">
        <f t="shared" ref="U459" si="155">+S459/K459</f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ref="K460" si="156">SUM(E460:I460)</f>
        <v>3476407</v>
      </c>
      <c r="L460" s="6"/>
      <c r="M460" s="438">
        <f t="shared" ref="M460" si="157">+(K460-K459)/K459</f>
        <v>1.2658348022291351E-4</v>
      </c>
      <c r="N460" s="29"/>
      <c r="O460" s="29"/>
      <c r="P460" s="29"/>
      <c r="Q460" s="332">
        <f t="shared" ref="Q460" si="158">+K460-K459</f>
        <v>440</v>
      </c>
      <c r="R460" s="6"/>
      <c r="S460" s="7">
        <f>53539+26324+8261</f>
        <v>88124</v>
      </c>
      <c r="T460" s="6"/>
      <c r="U460" s="243">
        <f t="shared" ref="U460" si="159">+S460/K460</f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ref="K461" si="160">SUM(E461:I461)</f>
        <v>3477226</v>
      </c>
      <c r="L461" s="6"/>
      <c r="M461" s="438">
        <f t="shared" ref="M461" si="161">+(K461-K460)/K460</f>
        <v>2.3558806549405751E-4</v>
      </c>
      <c r="N461" s="29"/>
      <c r="O461" s="29"/>
      <c r="P461" s="29"/>
      <c r="Q461" s="332">
        <f t="shared" ref="Q461" si="162">+K461-K460</f>
        <v>819</v>
      </c>
      <c r="R461" s="6"/>
      <c r="S461" s="7">
        <f>53549+26330+8261</f>
        <v>88140</v>
      </c>
      <c r="T461" s="6"/>
      <c r="U461" s="243">
        <f t="shared" ref="U461" si="163">+S461/K461</f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ref="K462" si="164">SUM(E462:I462)</f>
        <v>3477900</v>
      </c>
      <c r="L462" s="6"/>
      <c r="M462" s="438">
        <f t="shared" ref="M462" si="165">+(K462-K461)/K461</f>
        <v>1.9383267006516114E-4</v>
      </c>
      <c r="N462" s="29"/>
      <c r="O462" s="29"/>
      <c r="P462" s="29"/>
      <c r="Q462" s="332">
        <f t="shared" ref="Q462" si="166">+K462-K461</f>
        <v>674</v>
      </c>
      <c r="R462" s="6"/>
      <c r="S462" s="7">
        <f>53549+26330+8261</f>
        <v>88140</v>
      </c>
      <c r="T462" s="6"/>
      <c r="U462" s="243">
        <f t="shared" ref="U462" si="167">+S462/K462</f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ref="K463" si="168">SUM(E463:I463)</f>
        <v>3478645</v>
      </c>
      <c r="L463" s="6"/>
      <c r="M463" s="438">
        <f t="shared" ref="M463" si="169">+(K463-K462)/K462</f>
        <v>2.1420972425889186E-4</v>
      </c>
      <c r="N463" s="29"/>
      <c r="O463" s="29"/>
      <c r="P463" s="29"/>
      <c r="Q463" s="332">
        <f t="shared" ref="Q463" si="170">+K463-K462</f>
        <v>745</v>
      </c>
      <c r="R463" s="6"/>
      <c r="S463" s="7">
        <f>53574+26344+8263</f>
        <v>88181</v>
      </c>
      <c r="T463" s="6"/>
      <c r="U463" s="243">
        <f t="shared" ref="U463" si="171">+S463/K463</f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ref="K464" si="172">SUM(E464:I464)</f>
        <v>3479196</v>
      </c>
      <c r="L464" s="6"/>
      <c r="M464" s="438">
        <f t="shared" ref="M464" si="173">+(K464-K463)/K463</f>
        <v>1.5839500725138667E-4</v>
      </c>
      <c r="N464" s="29"/>
      <c r="O464" s="29"/>
      <c r="P464" s="29"/>
      <c r="Q464" s="332">
        <f t="shared" ref="Q464" si="174">+K464-K463</f>
        <v>551</v>
      </c>
      <c r="R464" s="6"/>
      <c r="S464" s="7">
        <f>53576+26357+8265</f>
        <v>88198</v>
      </c>
      <c r="T464" s="6"/>
      <c r="U464" s="243">
        <f t="shared" ref="U464" si="175">+S464/K464</f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ref="K465:K466" si="176">SUM(E465:I465)</f>
        <v>3479800</v>
      </c>
      <c r="L465" s="6"/>
      <c r="M465" s="438">
        <f t="shared" ref="M465:M466" si="177">+(K465-K464)/K464</f>
        <v>1.7360332674560443E-4</v>
      </c>
      <c r="N465" s="29"/>
      <c r="O465" s="29"/>
      <c r="P465" s="29"/>
      <c r="Q465" s="332">
        <f t="shared" ref="Q465:Q466" si="178">+K465-K464</f>
        <v>604</v>
      </c>
      <c r="R465" s="6"/>
      <c r="S465" s="7">
        <f>53576+26357+8265</f>
        <v>88198</v>
      </c>
      <c r="T465" s="6"/>
      <c r="U465" s="243">
        <f t="shared" ref="U465:U466" si="179">+S465/K465</f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176"/>
        <v>3480657</v>
      </c>
      <c r="L466" s="6"/>
      <c r="M466" s="438">
        <f t="shared" si="177"/>
        <v>2.4627852175412379E-4</v>
      </c>
      <c r="N466" s="29"/>
      <c r="O466" s="29"/>
      <c r="P466" s="29"/>
      <c r="Q466" s="332">
        <f t="shared" si="178"/>
        <v>857</v>
      </c>
      <c r="R466" s="6"/>
      <c r="S466" s="7">
        <f>53597+26368+8270</f>
        <v>88235</v>
      </c>
      <c r="T466" s="6"/>
      <c r="U466" s="243">
        <f t="shared" si="179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ref="K467" si="180">SUM(E467:I467)</f>
        <v>3481265</v>
      </c>
      <c r="L467" s="6"/>
      <c r="M467" s="438">
        <f t="shared" ref="M467" si="181">+(K467-K466)/K466</f>
        <v>1.7467966536202791E-4</v>
      </c>
      <c r="N467" s="29"/>
      <c r="O467" s="29"/>
      <c r="P467" s="29"/>
      <c r="Q467" s="332">
        <f t="shared" ref="Q467" si="182">+K467-K466</f>
        <v>608</v>
      </c>
      <c r="R467" s="6"/>
      <c r="S467" s="7">
        <f>53606+26374+8270</f>
        <v>88250</v>
      </c>
      <c r="T467" s="6"/>
      <c r="U467" s="243">
        <f t="shared" ref="U467" si="183">+S467/K467</f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ref="K468" si="184">SUM(E468:I468)</f>
        <v>3481692</v>
      </c>
      <c r="L468" s="6"/>
      <c r="M468" s="438">
        <f t="shared" ref="M468" si="185">+(K468-K467)/K467</f>
        <v>1.2265656305969239E-4</v>
      </c>
      <c r="N468" s="29"/>
      <c r="O468" s="29"/>
      <c r="P468" s="29"/>
      <c r="Q468" s="332">
        <f t="shared" ref="Q468" si="186">+K468-K467</f>
        <v>427</v>
      </c>
      <c r="R468" s="6"/>
      <c r="S468" s="7">
        <f>53606+26374+8270</f>
        <v>88250</v>
      </c>
      <c r="T468" s="6"/>
      <c r="U468" s="243">
        <f t="shared" ref="U468" si="187">+S468/K468</f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ref="K469" si="188">SUM(E469:I469)</f>
        <v>3482000</v>
      </c>
      <c r="L469" s="6"/>
      <c r="M469" s="438">
        <f t="shared" ref="M469" si="189">+(K469-K468)/K468</f>
        <v>8.8462735934137775E-5</v>
      </c>
      <c r="N469" s="29"/>
      <c r="O469" s="29"/>
      <c r="P469" s="29"/>
      <c r="Q469" s="332">
        <f t="shared" ref="Q469" si="190">+K469-K468</f>
        <v>308</v>
      </c>
      <c r="R469" s="6"/>
      <c r="S469" s="7">
        <f>53632+26392+8271</f>
        <v>88295</v>
      </c>
      <c r="T469" s="6"/>
      <c r="U469" s="243">
        <f t="shared" ref="U469" si="191">+S469/K469</f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ref="K470:K472" si="192">SUM(E470:I470)</f>
        <v>3482350</v>
      </c>
      <c r="L470" s="6"/>
      <c r="M470" s="438">
        <f t="shared" ref="M470:M472" si="193">+(K470-K469)/K469</f>
        <v>1.0051694428489374E-4</v>
      </c>
      <c r="N470" s="29"/>
      <c r="O470" s="29"/>
      <c r="P470" s="29"/>
      <c r="Q470" s="332">
        <f t="shared" ref="Q470:Q472" si="194">+K470-K469</f>
        <v>350</v>
      </c>
      <c r="R470" s="6"/>
      <c r="S470" s="7">
        <f t="shared" ref="S470:S471" si="195">53632+26392+8271</f>
        <v>88295</v>
      </c>
      <c r="T470" s="6"/>
      <c r="U470" s="243">
        <f t="shared" ref="U470:U472" si="196">+S470/K470</f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192"/>
        <v>3482744</v>
      </c>
      <c r="L471" s="6"/>
      <c r="M471" s="438">
        <f t="shared" si="193"/>
        <v>1.1314198745100292E-4</v>
      </c>
      <c r="N471" s="29"/>
      <c r="O471" s="29"/>
      <c r="P471" s="29"/>
      <c r="Q471" s="332">
        <f t="shared" si="194"/>
        <v>394</v>
      </c>
      <c r="R471" s="6"/>
      <c r="S471" s="7">
        <f t="shared" si="195"/>
        <v>88295</v>
      </c>
      <c r="T471" s="6"/>
      <c r="U471" s="243">
        <f t="shared" si="196"/>
        <v>2.53521361317398E-2</v>
      </c>
      <c r="W471">
        <f t="shared" ref="W471" si="197"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192"/>
        <v>3484133</v>
      </c>
      <c r="L472" s="6"/>
      <c r="M472" s="438">
        <f t="shared" si="193"/>
        <v>3.9882345644698549E-4</v>
      </c>
      <c r="N472" s="29"/>
      <c r="O472" s="29"/>
      <c r="P472" s="29"/>
      <c r="Q472" s="332">
        <f t="shared" si="194"/>
        <v>1389</v>
      </c>
      <c r="R472" s="6"/>
      <c r="S472" s="7">
        <f>53635+26416+8274</f>
        <v>88325</v>
      </c>
      <c r="T472" s="6"/>
      <c r="U472" s="243">
        <f t="shared" si="196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" si="198">SUM(E473:I473)</f>
        <v>3485198</v>
      </c>
      <c r="L473" s="6"/>
      <c r="M473" s="438">
        <f t="shared" ref="M473" si="199">+(K473-K472)/K472</f>
        <v>3.0567145398869677E-4</v>
      </c>
      <c r="N473" s="29"/>
      <c r="O473" s="29"/>
      <c r="P473" s="29"/>
      <c r="Q473" s="332">
        <f t="shared" ref="Q473" si="200">+K473-K472</f>
        <v>1065</v>
      </c>
      <c r="R473" s="6"/>
      <c r="S473" s="7">
        <f>53646+26434+8275</f>
        <v>88355</v>
      </c>
      <c r="T473" s="6"/>
      <c r="U473" s="243">
        <f t="shared" ref="U473" si="201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ref="K474" si="202">SUM(E474:I474)</f>
        <v>3485670</v>
      </c>
      <c r="L474" s="6"/>
      <c r="M474" s="438">
        <f t="shared" ref="M474" si="203">+(K474-K473)/K473</f>
        <v>1.3542989523120352E-4</v>
      </c>
      <c r="N474" s="29"/>
      <c r="O474" s="29"/>
      <c r="P474" s="29"/>
      <c r="Q474" s="332">
        <f t="shared" ref="Q474" si="204">+K474-K473</f>
        <v>472</v>
      </c>
      <c r="R474" s="6"/>
      <c r="S474" s="7">
        <f>53664+26437+8275</f>
        <v>88376</v>
      </c>
      <c r="T474" s="6"/>
      <c r="U474" s="243">
        <f t="shared" ref="U474" si="205">+S474/K474</f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ref="K475" si="206">SUM(E475:I475)</f>
        <v>3486073</v>
      </c>
      <c r="L475" s="6"/>
      <c r="M475" s="438">
        <f t="shared" ref="M475" si="207">+(K475-K474)/K474</f>
        <v>1.1561622299299705E-4</v>
      </c>
      <c r="N475" s="29"/>
      <c r="O475" s="29"/>
      <c r="P475" s="29"/>
      <c r="Q475" s="332">
        <f t="shared" ref="Q475" si="208">+K475-K474</f>
        <v>403</v>
      </c>
      <c r="R475" s="6"/>
      <c r="S475" s="7">
        <f>53664+26437+8275</f>
        <v>88376</v>
      </c>
      <c r="T475" s="6"/>
      <c r="U475" s="243">
        <f t="shared" ref="U475" si="209">+S475/K475</f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ref="K476:K477" si="210">SUM(E476:I476)</f>
        <v>3486523</v>
      </c>
      <c r="L476" s="6"/>
      <c r="M476" s="438">
        <f t="shared" ref="M476:M477" si="211">+(K476-K475)/K475</f>
        <v>1.2908507653167331E-4</v>
      </c>
      <c r="N476" s="29"/>
      <c r="O476" s="29"/>
      <c r="P476" s="29"/>
      <c r="Q476" s="332">
        <f t="shared" ref="Q476:Q477" si="212">+K476-K475</f>
        <v>450</v>
      </c>
      <c r="R476" s="6"/>
      <c r="S476" s="7">
        <f t="shared" ref="S476" si="213">53664+26437+8275</f>
        <v>88376</v>
      </c>
      <c r="T476" s="6"/>
      <c r="U476" s="243">
        <f t="shared" ref="U476:U477" si="214">+S476/K476</f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210"/>
        <v>3487187</v>
      </c>
      <c r="L477" s="6"/>
      <c r="M477" s="438">
        <f t="shared" si="211"/>
        <v>1.9044761787029657E-4</v>
      </c>
      <c r="N477" s="29"/>
      <c r="O477" s="29"/>
      <c r="P477" s="29"/>
      <c r="Q477" s="332">
        <f t="shared" si="212"/>
        <v>664</v>
      </c>
      <c r="R477" s="6"/>
      <c r="S477" s="7">
        <f>53676+26444+8276</f>
        <v>88396</v>
      </c>
      <c r="T477" s="6"/>
      <c r="U477" s="243">
        <f t="shared" si="214"/>
        <v>2.534879832942713E-2</v>
      </c>
      <c r="W477">
        <f t="shared" ref="W477:W540" si="215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ref="K478" si="216">SUM(E478:I478)</f>
        <v>3487733</v>
      </c>
      <c r="L478" s="6"/>
      <c r="M478" s="438">
        <f t="shared" ref="M478" si="217">+(K478-K477)/K477</f>
        <v>1.5657319208863763E-4</v>
      </c>
      <c r="N478" s="29"/>
      <c r="O478" s="29"/>
      <c r="P478" s="29"/>
      <c r="Q478" s="332">
        <f t="shared" ref="Q478" si="218">+K478-K477</f>
        <v>546</v>
      </c>
      <c r="R478" s="6"/>
      <c r="S478" s="7">
        <f>53679+26457+8278</f>
        <v>88414</v>
      </c>
      <c r="T478" s="6"/>
      <c r="U478" s="243">
        <f t="shared" ref="U478" si="219">+S478/K478</f>
        <v>2.5349990954009381E-2</v>
      </c>
      <c r="W478">
        <f t="shared" si="215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ref="K479" si="220">SUM(E479:I479)</f>
        <v>3488377</v>
      </c>
      <c r="L479" s="6"/>
      <c r="M479" s="438">
        <f t="shared" ref="M479" si="221">+(K479-K478)/K478</f>
        <v>1.8464716192437896E-4</v>
      </c>
      <c r="N479" s="29"/>
      <c r="O479" s="29"/>
      <c r="P479" s="29"/>
      <c r="Q479" s="332">
        <f t="shared" ref="Q479" si="222">+K479-K478</f>
        <v>644</v>
      </c>
      <c r="R479" s="6"/>
      <c r="S479" s="7">
        <f>53690+26462+8279</f>
        <v>88431</v>
      </c>
      <c r="T479" s="6"/>
      <c r="U479" s="243">
        <f t="shared" ref="U479" si="223">+S479/K479</f>
        <v>2.5350184340740694E-2</v>
      </c>
      <c r="W479">
        <f t="shared" si="215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ref="K480" si="224">SUM(E480:I480)</f>
        <v>3489279</v>
      </c>
      <c r="L480" s="6"/>
      <c r="M480" s="438">
        <f t="shared" ref="M480" si="225">+(K480-K479)/K479</f>
        <v>2.5857296960735609E-4</v>
      </c>
      <c r="N480" s="29"/>
      <c r="O480" s="29"/>
      <c r="P480" s="29"/>
      <c r="Q480" s="332">
        <f t="shared" ref="Q480" si="226">+K480-K479</f>
        <v>902</v>
      </c>
      <c r="R480" s="6"/>
      <c r="S480" s="7">
        <f>53692+26467+8279</f>
        <v>88438</v>
      </c>
      <c r="T480" s="6"/>
      <c r="U480" s="243">
        <f t="shared" ref="U480" si="227">+S480/K480</f>
        <v>2.5345637307879365E-2</v>
      </c>
      <c r="W480">
        <f t="shared" si="215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ref="K481" si="228">SUM(E481:I481)</f>
        <v>3489755</v>
      </c>
      <c r="L481" s="6"/>
      <c r="M481" s="438">
        <f t="shared" ref="M481" si="229">+(K481-K480)/K480</f>
        <v>1.3641786741616248E-4</v>
      </c>
      <c r="N481" s="29"/>
      <c r="O481" s="29"/>
      <c r="P481" s="29"/>
      <c r="Q481" s="332">
        <f t="shared" ref="Q481" si="230">+K481-K480</f>
        <v>476</v>
      </c>
      <c r="R481" s="6"/>
      <c r="S481" s="7">
        <f>53692+26472+8279</f>
        <v>88443</v>
      </c>
      <c r="T481" s="6"/>
      <c r="U481" s="243">
        <f t="shared" ref="U481" si="231">+S481/K481</f>
        <v>2.5343612947040694E-2</v>
      </c>
      <c r="W481">
        <f t="shared" si="215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ref="K482" si="232">SUM(E482:I482)</f>
        <v>3490217</v>
      </c>
      <c r="L482" s="6"/>
      <c r="M482" s="438">
        <f t="shared" ref="M482" si="233">+(K482-K481)/K481</f>
        <v>1.3238751717527448E-4</v>
      </c>
      <c r="N482" s="29"/>
      <c r="O482" s="29"/>
      <c r="P482" s="29"/>
      <c r="Q482" s="332">
        <f t="shared" ref="Q482" si="234">+K482-K481</f>
        <v>462</v>
      </c>
      <c r="R482" s="6"/>
      <c r="S482" s="7">
        <f>53701+26473+8279</f>
        <v>88453</v>
      </c>
      <c r="T482" s="6"/>
      <c r="U482" s="243">
        <f t="shared" ref="U482" si="235">+S482/K482</f>
        <v>2.5343123364535786E-2</v>
      </c>
      <c r="W482">
        <f t="shared" si="215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ref="K483" si="236">SUM(E483:I483)</f>
        <v>3490675</v>
      </c>
      <c r="L483" s="6"/>
      <c r="M483" s="438">
        <f t="shared" ref="M483" si="237">+(K483-K482)/K482</f>
        <v>1.3122393249474174E-4</v>
      </c>
      <c r="N483" s="29"/>
      <c r="O483" s="29"/>
      <c r="P483" s="29"/>
      <c r="Q483" s="332">
        <f t="shared" ref="Q483" si="238">+K483-K482</f>
        <v>458</v>
      </c>
      <c r="R483" s="6"/>
      <c r="S483" s="7">
        <f>53705+26477+8279</f>
        <v>88461</v>
      </c>
      <c r="T483" s="6"/>
      <c r="U483" s="243">
        <f t="shared" ref="U483" si="239">+S483/K483</f>
        <v>2.5342089996920367E-2</v>
      </c>
      <c r="W483">
        <f t="shared" si="215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ref="K484" si="240">SUM(E484:I484)</f>
        <v>3491302</v>
      </c>
      <c r="L484" s="6"/>
      <c r="M484" s="438">
        <f t="shared" ref="M484" si="241">+(K484-K483)/K483</f>
        <v>1.7962141992594556E-4</v>
      </c>
      <c r="N484" s="29"/>
      <c r="O484" s="29"/>
      <c r="P484" s="29"/>
      <c r="Q484" s="332">
        <f t="shared" ref="Q484" si="242">+K484-K483</f>
        <v>627</v>
      </c>
      <c r="R484" s="6"/>
      <c r="S484" s="7">
        <f>53711+26477+8279</f>
        <v>88467</v>
      </c>
      <c r="T484" s="6"/>
      <c r="U484" s="243">
        <f t="shared" ref="U484" si="243">+S484/K484</f>
        <v>2.5339257388790771E-2</v>
      </c>
      <c r="W484">
        <f t="shared" si="215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ref="K485" si="244">SUM(E485:I485)</f>
        <v>3492040</v>
      </c>
      <c r="L485" s="6"/>
      <c r="M485" s="438">
        <f t="shared" ref="M485" si="245">+(K485-K484)/K484</f>
        <v>2.1138245846391977E-4</v>
      </c>
      <c r="N485" s="29"/>
      <c r="O485" s="29"/>
      <c r="P485" s="29"/>
      <c r="Q485" s="332">
        <f t="shared" ref="Q485" si="246">+K485-K484</f>
        <v>738</v>
      </c>
      <c r="R485" s="6"/>
      <c r="S485" s="7">
        <f>53717+26490+8278</f>
        <v>88485</v>
      </c>
      <c r="T485" s="6"/>
      <c r="U485" s="243">
        <f t="shared" ref="U485" si="247">+S485/K485</f>
        <v>2.5339056826382288E-2</v>
      </c>
      <c r="W485">
        <f t="shared" si="215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ref="K486" si="248">SUM(E486:I486)</f>
        <v>3493093</v>
      </c>
      <c r="L486" s="6"/>
      <c r="M486" s="438">
        <f t="shared" ref="M486" si="249">+(K486-K485)/K485</f>
        <v>3.0154293765248964E-4</v>
      </c>
      <c r="N486" s="29"/>
      <c r="O486" s="29"/>
      <c r="P486" s="29"/>
      <c r="Q486" s="332">
        <f t="shared" ref="Q486" si="250">+K486-K485</f>
        <v>1053</v>
      </c>
      <c r="R486" s="6"/>
      <c r="S486" s="7">
        <f>53721+26493+8279</f>
        <v>88493</v>
      </c>
      <c r="T486" s="6"/>
      <c r="U486" s="243">
        <f t="shared" ref="U486" si="251">+S486/K486</f>
        <v>2.5333708549987073E-2</v>
      </c>
      <c r="W486">
        <f t="shared" si="215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ref="K487" si="252">SUM(E487:I487)</f>
        <v>3494406</v>
      </c>
      <c r="L487" s="6"/>
      <c r="M487" s="438">
        <f t="shared" ref="M487" si="253">+(K487-K486)/K486</f>
        <v>3.7588463862828729E-4</v>
      </c>
      <c r="N487" s="29"/>
      <c r="O487" s="29"/>
      <c r="P487" s="29"/>
      <c r="Q487" s="332">
        <f t="shared" ref="Q487" si="254">+K487-K486</f>
        <v>1313</v>
      </c>
      <c r="R487" s="6"/>
      <c r="S487" s="7">
        <f>53726+26496+8279</f>
        <v>88501</v>
      </c>
      <c r="T487" s="6"/>
      <c r="U487" s="243">
        <f t="shared" ref="U487" si="255">+S487/K487</f>
        <v>2.5326478949498139E-2</v>
      </c>
      <c r="W487">
        <f t="shared" si="215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ref="K488" si="256">SUM(E488:I488)</f>
        <v>3495549</v>
      </c>
      <c r="L488" s="6"/>
      <c r="M488" s="438">
        <f t="shared" ref="M488" si="257">+(K488-K487)/K487</f>
        <v>3.2709421858822358E-4</v>
      </c>
      <c r="N488" s="29"/>
      <c r="O488" s="29"/>
      <c r="P488" s="29"/>
      <c r="Q488" s="332">
        <f t="shared" ref="Q488" si="258">+K488-K487</f>
        <v>1143</v>
      </c>
      <c r="R488" s="6"/>
      <c r="S488" s="7">
        <f>53733+26501+8279</f>
        <v>88513</v>
      </c>
      <c r="T488" s="6"/>
      <c r="U488" s="243">
        <f t="shared" ref="U488" si="259">+S488/K488</f>
        <v>2.5321630450610189E-2</v>
      </c>
      <c r="W488">
        <f t="shared" si="215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ref="K489" si="260">SUM(E489:I489)</f>
        <v>3496526</v>
      </c>
      <c r="L489" s="6"/>
      <c r="M489" s="438">
        <f t="shared" ref="M489" si="261">+(K489-K488)/K488</f>
        <v>2.7949829912268429E-4</v>
      </c>
      <c r="N489" s="29"/>
      <c r="O489" s="29"/>
      <c r="P489" s="29"/>
      <c r="Q489" s="332">
        <f t="shared" ref="Q489" si="262">+K489-K488</f>
        <v>977</v>
      </c>
      <c r="R489" s="6"/>
      <c r="S489" s="7">
        <f>53735+26505+8279</f>
        <v>88519</v>
      </c>
      <c r="T489" s="6"/>
      <c r="U489" s="243">
        <f t="shared" ref="U489" si="263">+S489/K489</f>
        <v>2.531627106447943E-2</v>
      </c>
      <c r="W489">
        <f t="shared" si="215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ref="K490" si="264">SUM(E490:I490)</f>
        <v>3497444</v>
      </c>
      <c r="L490" s="6"/>
      <c r="M490" s="438">
        <f t="shared" ref="M490" si="265">+(K490-K489)/K489</f>
        <v>2.6254631025194724E-4</v>
      </c>
      <c r="N490" s="29"/>
      <c r="O490" s="29"/>
      <c r="P490" s="29"/>
      <c r="Q490" s="332">
        <f t="shared" ref="Q490" si="266">+K490-K489</f>
        <v>918</v>
      </c>
      <c r="R490" s="6"/>
      <c r="S490" s="7">
        <f>53737+26509+8279</f>
        <v>88525</v>
      </c>
      <c r="T490" s="6"/>
      <c r="U490" s="243">
        <f t="shared" ref="U490" si="267">+S490/K490</f>
        <v>2.531134165407652E-2</v>
      </c>
      <c r="W490">
        <f t="shared" si="215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ref="K491" si="268">SUM(E491:I491)</f>
        <v>3498655</v>
      </c>
      <c r="L491" s="6"/>
      <c r="M491" s="438">
        <f t="shared" ref="M491" si="269">+(K491-K490)/K490</f>
        <v>3.4625286351975903E-4</v>
      </c>
      <c r="N491" s="29"/>
      <c r="O491" s="29"/>
      <c r="P491" s="29"/>
      <c r="Q491" s="332">
        <f t="shared" ref="Q491" si="270">+K491-K490</f>
        <v>1211</v>
      </c>
      <c r="R491" s="6"/>
      <c r="S491" s="7">
        <f>53743+26516+8279</f>
        <v>88538</v>
      </c>
      <c r="T491" s="6"/>
      <c r="U491" s="243">
        <f t="shared" ref="U491" si="271">+S491/K491</f>
        <v>2.5306296276712052E-2</v>
      </c>
      <c r="W491">
        <f t="shared" si="215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ref="K492" si="272">SUM(E492:I492)</f>
        <v>3499902</v>
      </c>
      <c r="L492" s="6"/>
      <c r="M492" s="438">
        <f t="shared" ref="M492" si="273">+(K492-K491)/K491</f>
        <v>3.5642268243081982E-4</v>
      </c>
      <c r="N492" s="29"/>
      <c r="O492" s="29"/>
      <c r="P492" s="29"/>
      <c r="Q492" s="332">
        <f t="shared" ref="Q492" si="274">+K492-K491</f>
        <v>1247</v>
      </c>
      <c r="R492" s="6"/>
      <c r="S492" s="7">
        <f>53754+26527+8279</f>
        <v>88560</v>
      </c>
      <c r="T492" s="6"/>
      <c r="U492" s="243">
        <f t="shared" ref="U492" si="275">+S492/K492</f>
        <v>2.5303565642695137E-2</v>
      </c>
      <c r="W492">
        <f t="shared" si="215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ref="K493" si="276">SUM(E493:I493)</f>
        <v>3501448</v>
      </c>
      <c r="L493" s="6"/>
      <c r="M493" s="438">
        <f t="shared" ref="M493" si="277">+(K493-K492)/K492</f>
        <v>4.4172665406059939E-4</v>
      </c>
      <c r="N493" s="29"/>
      <c r="O493" s="29"/>
      <c r="P493" s="29"/>
      <c r="Q493" s="332">
        <f t="shared" ref="Q493" si="278">+K493-K492</f>
        <v>1546</v>
      </c>
      <c r="R493" s="6"/>
      <c r="S493" s="7">
        <f>53759+26529+8282</f>
        <v>88570</v>
      </c>
      <c r="T493" s="6"/>
      <c r="U493" s="243">
        <f t="shared" ref="U493" si="279">+S493/K493</f>
        <v>2.529524927972656E-2</v>
      </c>
      <c r="W493">
        <f t="shared" si="215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ref="K494" si="280">SUM(E494:I494)</f>
        <v>3502797</v>
      </c>
      <c r="L494" s="6"/>
      <c r="M494" s="438">
        <f t="shared" ref="M494" si="281">+(K494-K493)/K493</f>
        <v>3.8526918006493311E-4</v>
      </c>
      <c r="N494" s="29"/>
      <c r="O494" s="29"/>
      <c r="P494" s="29"/>
      <c r="Q494" s="332">
        <f t="shared" ref="Q494" si="282">+K494-K493</f>
        <v>1349</v>
      </c>
      <c r="R494" s="6"/>
      <c r="S494" s="7">
        <f>53760+26531+8282</f>
        <v>88573</v>
      </c>
      <c r="T494" s="6"/>
      <c r="U494" s="243">
        <f t="shared" ref="U494" si="283">+S494/K494</f>
        <v>2.5286364011388614E-2</v>
      </c>
      <c r="W494">
        <f t="shared" si="215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ref="K495" si="284">SUM(E495:I495)</f>
        <v>3504713</v>
      </c>
      <c r="L495" s="6"/>
      <c r="M495" s="438">
        <f t="shared" ref="M495" si="285">+(K495-K494)/K494</f>
        <v>5.4699144712068665E-4</v>
      </c>
      <c r="N495" s="29"/>
      <c r="O495" s="29"/>
      <c r="P495" s="29"/>
      <c r="Q495" s="332">
        <f t="shared" ref="Q495" si="286">+K495-K494</f>
        <v>1916</v>
      </c>
      <c r="R495" s="6"/>
      <c r="S495" s="7">
        <f>53765+26536+8282</f>
        <v>88583</v>
      </c>
      <c r="T495" s="6"/>
      <c r="U495" s="243">
        <f t="shared" ref="U495" si="287">+S495/K495</f>
        <v>2.5275393448764564E-2</v>
      </c>
      <c r="W495">
        <f t="shared" si="215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ref="K496" si="288">SUM(E496:I496)</f>
        <v>3506286</v>
      </c>
      <c r="L496" s="6"/>
      <c r="M496" s="438">
        <f t="shared" ref="M496" si="289">+(K496-K495)/K495</f>
        <v>4.488241975876484E-4</v>
      </c>
      <c r="N496" s="29"/>
      <c r="O496" s="29"/>
      <c r="P496" s="29"/>
      <c r="Q496" s="332">
        <f t="shared" ref="Q496" si="290">+K496-K495</f>
        <v>1573</v>
      </c>
      <c r="R496" s="6"/>
      <c r="S496" s="7">
        <f>53775+8282+26539</f>
        <v>88596</v>
      </c>
      <c r="T496" s="6"/>
      <c r="U496" s="243">
        <f t="shared" ref="U496" si="291">+S496/K496</f>
        <v>2.5267761956668681E-2</v>
      </c>
      <c r="W496">
        <f t="shared" si="215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ref="K497" si="292">SUM(E497:I497)</f>
        <v>3507919</v>
      </c>
      <c r="L497" s="6"/>
      <c r="M497" s="438">
        <f t="shared" ref="M497" si="293">+(K497-K496)/K496</f>
        <v>4.6573496856788067E-4</v>
      </c>
      <c r="N497" s="29"/>
      <c r="O497" s="29"/>
      <c r="P497" s="29"/>
      <c r="Q497" s="332">
        <f t="shared" ref="Q497" si="294">+K497-K496</f>
        <v>1633</v>
      </c>
      <c r="R497" s="6"/>
      <c r="S497" s="7">
        <f>53780+26545+8282</f>
        <v>88607</v>
      </c>
      <c r="T497" s="6"/>
      <c r="U497" s="243">
        <f t="shared" ref="U497" si="295">+S497/K497</f>
        <v>2.5259135116859881E-2</v>
      </c>
      <c r="W497">
        <f t="shared" si="215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ref="K498" si="296">SUM(E498:I498)</f>
        <v>3509913</v>
      </c>
      <c r="L498" s="6"/>
      <c r="M498" s="438">
        <f t="shared" ref="M498" si="297">+(K498-K497)/K497</f>
        <v>5.6842817636325131E-4</v>
      </c>
      <c r="N498" s="29"/>
      <c r="O498" s="29"/>
      <c r="P498" s="29"/>
      <c r="Q498" s="332">
        <f t="shared" ref="Q498" si="298">+K498-K497</f>
        <v>1994</v>
      </c>
      <c r="R498" s="6"/>
      <c r="S498" s="7">
        <f>53784+26557+8282</f>
        <v>88623</v>
      </c>
      <c r="T498" s="6"/>
      <c r="U498" s="243">
        <f t="shared" ref="U498" si="299">+S498/K498</f>
        <v>2.52493437871537E-2</v>
      </c>
      <c r="W498">
        <f t="shared" si="215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ref="K499" si="300">SUM(E499:I499)</f>
        <v>3512027</v>
      </c>
      <c r="L499" s="6"/>
      <c r="M499" s="438">
        <f t="shared" ref="M499" si="301">+(K499-K498)/K498</f>
        <v>6.0229413093714856E-4</v>
      </c>
      <c r="N499" s="29"/>
      <c r="O499" s="29"/>
      <c r="P499" s="29"/>
      <c r="Q499" s="332">
        <f t="shared" ref="Q499" si="302">+K499-K498</f>
        <v>2114</v>
      </c>
      <c r="R499" s="6"/>
      <c r="S499" s="7">
        <f>53791+26562+8282</f>
        <v>88635</v>
      </c>
      <c r="T499" s="6"/>
      <c r="U499" s="243">
        <f t="shared" ref="U499" si="303">+S499/K499</f>
        <v>2.5237562239698044E-2</v>
      </c>
      <c r="W499">
        <f t="shared" si="215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ref="K500" si="304">SUM(E500:I500)</f>
        <v>3514706</v>
      </c>
      <c r="L500" s="6"/>
      <c r="M500" s="438">
        <f t="shared" ref="M500" si="305">+(K500-K499)/K499</f>
        <v>7.6280734743781864E-4</v>
      </c>
      <c r="N500" s="29"/>
      <c r="O500" s="29"/>
      <c r="P500" s="29"/>
      <c r="Q500" s="332">
        <f t="shared" ref="Q500" si="306">+K500-K499</f>
        <v>2679</v>
      </c>
      <c r="R500" s="6"/>
      <c r="S500" s="7">
        <f>53798+26564+8286</f>
        <v>88648</v>
      </c>
      <c r="T500" s="6"/>
      <c r="U500" s="243">
        <f t="shared" ref="U500" si="307">+S500/K500</f>
        <v>2.5222024260350653E-2</v>
      </c>
      <c r="W500">
        <f t="shared" si="215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ref="K501" si="308">SUM(E501:I501)</f>
        <v>3517557</v>
      </c>
      <c r="L501" s="6"/>
      <c r="M501" s="438">
        <f t="shared" ref="M501" si="309">+(K501-K500)/K500</f>
        <v>8.1116315276441326E-4</v>
      </c>
      <c r="N501" s="29"/>
      <c r="O501" s="29"/>
      <c r="P501" s="29"/>
      <c r="Q501" s="332">
        <f t="shared" ref="Q501" si="310">+K501-K500</f>
        <v>2851</v>
      </c>
      <c r="R501" s="6"/>
      <c r="S501" s="7">
        <f>53801+26568+8286</f>
        <v>88655</v>
      </c>
      <c r="T501" s="6"/>
      <c r="U501" s="243">
        <f t="shared" ref="U501" si="311">+S501/K501</f>
        <v>2.5203571683415506E-2</v>
      </c>
      <c r="W501">
        <f t="shared" si="215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ref="K502" si="312">SUM(E502:I502)</f>
        <v>3520314</v>
      </c>
      <c r="L502" s="6"/>
      <c r="M502" s="438">
        <f t="shared" ref="M502" si="313">+(K502-K501)/K501</f>
        <v>7.837826082135982E-4</v>
      </c>
      <c r="N502" s="29"/>
      <c r="O502" s="29"/>
      <c r="P502" s="29"/>
      <c r="Q502" s="332">
        <f t="shared" ref="Q502" si="314">+K502-K501</f>
        <v>2757</v>
      </c>
      <c r="R502" s="6"/>
      <c r="S502" s="7">
        <f>53804+26573+8286</f>
        <v>88663</v>
      </c>
      <c r="T502" s="6"/>
      <c r="U502" s="243">
        <f t="shared" ref="U502" si="315">+S502/K502</f>
        <v>2.5186105557629235E-2</v>
      </c>
      <c r="W502">
        <f t="shared" si="215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ref="K503" si="316">SUM(E503:I503)</f>
        <v>3521781</v>
      </c>
      <c r="L503" s="6"/>
      <c r="M503" s="438">
        <f t="shared" ref="M503" si="317">+(K503-K502)/K502</f>
        <v>4.1672418994441972E-4</v>
      </c>
      <c r="N503" s="29"/>
      <c r="O503" s="29"/>
      <c r="P503" s="29"/>
      <c r="Q503" s="332">
        <f t="shared" ref="Q503" si="318">+K503-K502</f>
        <v>1467</v>
      </c>
      <c r="R503" s="6"/>
      <c r="S503" s="7">
        <f>53813+26575+8286</f>
        <v>88674</v>
      </c>
      <c r="T503" s="6"/>
      <c r="U503" s="243">
        <f t="shared" ref="U503" si="319">+S503/K503</f>
        <v>2.5178737689822279E-2</v>
      </c>
      <c r="W503">
        <f t="shared" si="215"/>
        <v>493</v>
      </c>
      <c r="Y503" s="56"/>
    </row>
    <row r="504" spans="3:25" x14ac:dyDescent="0.3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ref="K504" si="320">SUM(E504:I504)</f>
        <v>3525502</v>
      </c>
      <c r="L504" s="6"/>
      <c r="M504" s="438">
        <f t="shared" ref="M504" si="321">+(K504-K503)/K503</f>
        <v>1.0565676854977638E-3</v>
      </c>
      <c r="N504" s="29"/>
      <c r="O504" s="29"/>
      <c r="P504" s="29"/>
      <c r="Q504" s="332">
        <f t="shared" ref="Q504" si="322">+K504-K503</f>
        <v>3721</v>
      </c>
      <c r="R504" s="6"/>
      <c r="S504" s="7">
        <f>53610+26579+8288</f>
        <v>88477</v>
      </c>
      <c r="T504" s="6"/>
      <c r="U504" s="243">
        <f t="shared" ref="U504" si="323">+S504/K504</f>
        <v>2.5096284160383401E-2</v>
      </c>
      <c r="W504">
        <f t="shared" si="215"/>
        <v>494</v>
      </c>
      <c r="Y504" s="56"/>
    </row>
    <row r="505" spans="3:25" x14ac:dyDescent="0.3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" si="324">SUM(E505:I505)</f>
        <v>3528399</v>
      </c>
      <c r="L505" s="6"/>
      <c r="M505" s="438">
        <f t="shared" ref="M505" si="325">+(K505-K504)/K504</f>
        <v>8.2172694838919395E-4</v>
      </c>
      <c r="N505" s="29"/>
      <c r="O505" s="29"/>
      <c r="P505" s="29"/>
      <c r="Q505" s="332">
        <f t="shared" ref="Q505" si="326">+K505-K504</f>
        <v>2897</v>
      </c>
      <c r="R505" s="6"/>
      <c r="S505" s="7">
        <f>53611+26586+8288</f>
        <v>88485</v>
      </c>
      <c r="T505" s="6"/>
      <c r="U505" s="243">
        <f t="shared" ref="U505" si="327">+S505/K505</f>
        <v>2.5077946116638168E-2</v>
      </c>
      <c r="W505">
        <f t="shared" si="215"/>
        <v>495</v>
      </c>
      <c r="Y505" s="56"/>
    </row>
    <row r="506" spans="3:25" x14ac:dyDescent="0.3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ref="K506" si="328">SUM(E506:I506)</f>
        <v>3531612</v>
      </c>
      <c r="L506" s="6"/>
      <c r="M506" s="438">
        <f t="shared" ref="M506" si="329">+(K506-K505)/K505</f>
        <v>9.1061129991250995E-4</v>
      </c>
      <c r="N506" s="29"/>
      <c r="O506" s="29"/>
      <c r="P506" s="29"/>
      <c r="Q506" s="332">
        <f t="shared" ref="Q506" si="330">+K506-K505</f>
        <v>3213</v>
      </c>
      <c r="R506" s="6"/>
      <c r="S506" s="7">
        <f>53623+26589+8288</f>
        <v>88500</v>
      </c>
      <c r="T506" s="6"/>
      <c r="U506" s="243">
        <f t="shared" ref="U506" si="331">+S506/K506</f>
        <v>2.5059377983764921E-2</v>
      </c>
      <c r="W506">
        <f t="shared" si="215"/>
        <v>496</v>
      </c>
      <c r="Y506" s="56"/>
    </row>
    <row r="507" spans="3:25" x14ac:dyDescent="0.3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ref="K507" si="332">SUM(E507:I507)</f>
        <v>3535637</v>
      </c>
      <c r="L507" s="6"/>
      <c r="M507" s="438">
        <f t="shared" ref="M507" si="333">+(K507-K506)/K506</f>
        <v>1.1397061738378962E-3</v>
      </c>
      <c r="N507" s="29"/>
      <c r="O507" s="29"/>
      <c r="P507" s="29"/>
      <c r="Q507" s="332">
        <f t="shared" ref="Q507" si="334">+K507-K506</f>
        <v>4025</v>
      </c>
      <c r="R507" s="6"/>
      <c r="S507" s="7">
        <f>53625+26590+8293</f>
        <v>88508</v>
      </c>
      <c r="T507" s="6"/>
      <c r="U507" s="243">
        <f t="shared" ref="U507" si="335">+S507/K507</f>
        <v>2.5033112845012088E-2</v>
      </c>
      <c r="W507">
        <f t="shared" si="215"/>
        <v>497</v>
      </c>
      <c r="Y507" s="56"/>
    </row>
    <row r="508" spans="3:25" x14ac:dyDescent="0.3">
      <c r="C508" s="157">
        <f t="shared" ref="C508:C554" si="336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ref="K508" si="337">SUM(E508:I508)</f>
        <v>3539824</v>
      </c>
      <c r="L508" s="6"/>
      <c r="M508" s="438">
        <f t="shared" ref="M508" si="338">+(K508-K507)/K507</f>
        <v>1.1842279057493741E-3</v>
      </c>
      <c r="N508" s="29"/>
      <c r="O508" s="29"/>
      <c r="P508" s="29"/>
      <c r="Q508" s="332">
        <f t="shared" ref="Q508" si="339">+K508-K507</f>
        <v>4187</v>
      </c>
      <c r="R508" s="6"/>
      <c r="S508" s="7">
        <f>53632+26595+8293</f>
        <v>88520</v>
      </c>
      <c r="T508" s="6"/>
      <c r="U508" s="243">
        <f t="shared" ref="U508" si="340">+S508/K508</f>
        <v>2.5006892998069959E-2</v>
      </c>
      <c r="W508">
        <f t="shared" si="215"/>
        <v>498</v>
      </c>
      <c r="Y508" s="56"/>
    </row>
    <row r="509" spans="3:25" x14ac:dyDescent="0.3">
      <c r="C509" s="157">
        <f t="shared" si="336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ref="K509" si="341">SUM(E509:I509)</f>
        <v>3544078</v>
      </c>
      <c r="L509" s="6"/>
      <c r="M509" s="438">
        <f t="shared" ref="M509" si="342">+(K509-K508)/K508</f>
        <v>1.2017546635086941E-3</v>
      </c>
      <c r="N509" s="29"/>
      <c r="O509" s="29"/>
      <c r="P509" s="29"/>
      <c r="Q509" s="332">
        <f t="shared" ref="Q509" si="343">+K509-K508</f>
        <v>4254</v>
      </c>
      <c r="R509" s="6"/>
      <c r="S509" s="7">
        <f>53641+26602+8293</f>
        <v>88536</v>
      </c>
      <c r="T509" s="6"/>
      <c r="U509" s="243">
        <f t="shared" ref="U509" si="344">+S509/K509</f>
        <v>2.498139149307662E-2</v>
      </c>
      <c r="W509">
        <f t="shared" si="215"/>
        <v>499</v>
      </c>
      <c r="Y509" s="56"/>
    </row>
    <row r="510" spans="3:25" x14ac:dyDescent="0.3">
      <c r="C510" s="157">
        <f t="shared" si="336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ref="K510" si="345">SUM(E510:I510)</f>
        <v>3547580</v>
      </c>
      <c r="L510" s="6"/>
      <c r="M510" s="438">
        <f t="shared" ref="M510" si="346">+(K510-K509)/K509</f>
        <v>9.8812723647730095E-4</v>
      </c>
      <c r="N510" s="29"/>
      <c r="O510" s="29"/>
      <c r="P510" s="29"/>
      <c r="Q510" s="332">
        <f t="shared" ref="Q510" si="347">+K510-K509</f>
        <v>3502</v>
      </c>
      <c r="R510" s="6"/>
      <c r="S510" s="7">
        <f>53650+26607+8293</f>
        <v>88550</v>
      </c>
      <c r="T510" s="6"/>
      <c r="U510" s="243">
        <f t="shared" ref="U510" si="348">+S510/K510</f>
        <v>2.4960677419536698E-2</v>
      </c>
      <c r="W510">
        <f t="shared" si="215"/>
        <v>500</v>
      </c>
      <c r="Y510" s="56"/>
    </row>
    <row r="511" spans="3:25" x14ac:dyDescent="0.3">
      <c r="C511" s="157">
        <f t="shared" si="336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ref="K511" si="349">SUM(E511:I511)</f>
        <v>3552095</v>
      </c>
      <c r="L511" s="6"/>
      <c r="M511" s="438">
        <f t="shared" ref="M511" si="350">+(K511-K510)/K510</f>
        <v>1.2726985719842823E-3</v>
      </c>
      <c r="N511" s="29"/>
      <c r="O511" s="29"/>
      <c r="P511" s="29"/>
      <c r="Q511" s="332">
        <f t="shared" ref="Q511" si="351">+K511-K510</f>
        <v>4515</v>
      </c>
      <c r="R511" s="6"/>
      <c r="S511" s="7">
        <f>53657+26606+8293</f>
        <v>88556</v>
      </c>
      <c r="T511" s="6"/>
      <c r="U511" s="243">
        <f t="shared" ref="U511" si="352">+S511/K511</f>
        <v>2.4930639523999217E-2</v>
      </c>
      <c r="W511">
        <f t="shared" si="215"/>
        <v>501</v>
      </c>
      <c r="Y511" s="56"/>
    </row>
    <row r="512" spans="3:25" x14ac:dyDescent="0.3">
      <c r="C512" s="157">
        <f t="shared" si="336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ref="K512" si="353">SUM(E512:I512)</f>
        <v>3557024</v>
      </c>
      <c r="L512" s="6"/>
      <c r="M512" s="438">
        <f t="shared" ref="M512" si="354">+(K512-K511)/K511</f>
        <v>1.3876318060187017E-3</v>
      </c>
      <c r="N512" s="29"/>
      <c r="O512" s="29"/>
      <c r="P512" s="29"/>
      <c r="Q512" s="332">
        <f t="shared" ref="Q512" si="355">+K512-K511</f>
        <v>4929</v>
      </c>
      <c r="R512" s="6"/>
      <c r="S512" s="7">
        <f>53670+26614+8292</f>
        <v>88576</v>
      </c>
      <c r="T512" s="6"/>
      <c r="U512" s="243">
        <f t="shared" ref="U512" si="356">+S512/K512</f>
        <v>2.4901715591460725E-2</v>
      </c>
      <c r="W512">
        <f t="shared" si="215"/>
        <v>502</v>
      </c>
      <c r="Y512" s="56"/>
    </row>
    <row r="513" spans="3:25" x14ac:dyDescent="0.3">
      <c r="C513" s="157">
        <f t="shared" si="336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ref="K513" si="357">SUM(E513:I513)</f>
        <v>3561717</v>
      </c>
      <c r="L513" s="6"/>
      <c r="M513" s="438">
        <f t="shared" ref="M513" si="358">+(K513-K512)/K512</f>
        <v>1.3193613537608967E-3</v>
      </c>
      <c r="N513" s="29"/>
      <c r="O513" s="29"/>
      <c r="P513" s="29"/>
      <c r="Q513" s="332">
        <f t="shared" ref="Q513" si="359">+K513-K512</f>
        <v>4693</v>
      </c>
      <c r="R513" s="6"/>
      <c r="S513" s="7">
        <f>53676+26625+8292</f>
        <v>88593</v>
      </c>
      <c r="T513" s="6"/>
      <c r="U513" s="243">
        <f t="shared" ref="U513" si="360">+S513/K513</f>
        <v>2.487367749880184E-2</v>
      </c>
      <c r="W513">
        <f t="shared" si="215"/>
        <v>503</v>
      </c>
      <c r="Y513" s="56"/>
    </row>
    <row r="514" spans="3:25" x14ac:dyDescent="0.3">
      <c r="C514" s="157">
        <f t="shared" si="336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ref="K514" si="361">SUM(E514:I514)</f>
        <v>3567363</v>
      </c>
      <c r="L514" s="6"/>
      <c r="M514" s="438">
        <f t="shared" ref="M514" si="362">+(K514-K513)/K513</f>
        <v>1.5851905134517986E-3</v>
      </c>
      <c r="N514" s="29"/>
      <c r="O514" s="29"/>
      <c r="P514" s="29"/>
      <c r="Q514" s="332">
        <f t="shared" ref="Q514" si="363">+K514-K513</f>
        <v>5646</v>
      </c>
      <c r="R514" s="6"/>
      <c r="S514" s="7">
        <f>53691+26629+8296</f>
        <v>88616</v>
      </c>
      <c r="T514" s="6"/>
      <c r="U514" s="243">
        <f t="shared" ref="U514" si="364">+S514/K514</f>
        <v>2.4840757724963788E-2</v>
      </c>
      <c r="W514">
        <f t="shared" si="215"/>
        <v>504</v>
      </c>
      <c r="Y514" s="56"/>
    </row>
    <row r="515" spans="3:25" x14ac:dyDescent="0.3">
      <c r="C515" s="157">
        <f t="shared" si="336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ref="K515" si="365">SUM(E515:I515)</f>
        <v>3573179</v>
      </c>
      <c r="L515" s="6"/>
      <c r="M515" s="438">
        <f t="shared" ref="M515" si="366">+(K515-K514)/K514</f>
        <v>1.6303359091855805E-3</v>
      </c>
      <c r="N515" s="29"/>
      <c r="O515" s="29"/>
      <c r="P515" s="29"/>
      <c r="Q515" s="332">
        <f t="shared" ref="Q515" si="367">+K515-K514</f>
        <v>5816</v>
      </c>
      <c r="R515" s="6"/>
      <c r="S515" s="7">
        <f>53694+26636+8296</f>
        <v>88626</v>
      </c>
      <c r="T515" s="6"/>
      <c r="U515" s="243">
        <f t="shared" ref="U515" si="368">+S515/K515</f>
        <v>2.4803123493113557E-2</v>
      </c>
      <c r="W515">
        <f t="shared" si="215"/>
        <v>505</v>
      </c>
      <c r="Y515" s="56"/>
    </row>
    <row r="516" spans="3:25" x14ac:dyDescent="0.3">
      <c r="C516" s="157">
        <f t="shared" si="336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ref="K516" si="369">SUM(E516:I516)</f>
        <v>3579209</v>
      </c>
      <c r="L516" s="6"/>
      <c r="M516" s="438">
        <f t="shared" ref="M516" si="370">+(K516-K515)/K515</f>
        <v>1.687572886776733E-3</v>
      </c>
      <c r="N516" s="29"/>
      <c r="O516" s="29"/>
      <c r="P516" s="29"/>
      <c r="Q516" s="332">
        <f t="shared" ref="Q516" si="371">+K516-K515</f>
        <v>6030</v>
      </c>
      <c r="R516" s="6"/>
      <c r="S516" s="7">
        <f>53729+26645+8296</f>
        <v>88670</v>
      </c>
      <c r="T516" s="6"/>
      <c r="U516" s="243">
        <f t="shared" ref="U516" si="372">+S516/K516</f>
        <v>2.4773630151242915E-2</v>
      </c>
      <c r="W516">
        <f t="shared" si="215"/>
        <v>506</v>
      </c>
      <c r="Y516" s="56"/>
    </row>
    <row r="517" spans="3:25" x14ac:dyDescent="0.3">
      <c r="C517" s="157">
        <f t="shared" si="336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ref="K517" si="373">SUM(E517:I517)</f>
        <v>3583956</v>
      </c>
      <c r="L517" s="6"/>
      <c r="M517" s="438">
        <f t="shared" ref="M517" si="374">+(K517-K516)/K516</f>
        <v>1.3262706927703858E-3</v>
      </c>
      <c r="N517" s="29"/>
      <c r="O517" s="29"/>
      <c r="P517" s="29"/>
      <c r="Q517" s="332">
        <f t="shared" ref="Q517" si="375">+K517-K516</f>
        <v>4747</v>
      </c>
      <c r="R517" s="6"/>
      <c r="S517" s="7">
        <f>53744+26650+8296</f>
        <v>88690</v>
      </c>
      <c r="T517" s="6"/>
      <c r="U517" s="243">
        <f t="shared" ref="U517" si="376">+S517/K517</f>
        <v>2.4746397556219997E-2</v>
      </c>
      <c r="W517">
        <f t="shared" si="215"/>
        <v>507</v>
      </c>
      <c r="Y517" s="56"/>
    </row>
    <row r="518" spans="3:25" x14ac:dyDescent="0.3">
      <c r="C518" s="157">
        <f t="shared" si="336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ref="K518" si="377">SUM(E518:I518)</f>
        <v>3588170</v>
      </c>
      <c r="L518" s="6"/>
      <c r="M518" s="438">
        <f t="shared" ref="M518" si="378">+(K518-K517)/K517</f>
        <v>1.1757956849916685E-3</v>
      </c>
      <c r="N518" s="29"/>
      <c r="O518" s="29"/>
      <c r="P518" s="29"/>
      <c r="Q518" s="332">
        <f t="shared" ref="Q518" si="379">+K518-K517</f>
        <v>4214</v>
      </c>
      <c r="R518" s="6"/>
      <c r="S518" s="7">
        <f>53750+26650+8296</f>
        <v>88696</v>
      </c>
      <c r="T518" s="6"/>
      <c r="U518" s="243">
        <f t="shared" ref="U518" si="380">+S518/K518</f>
        <v>2.4719007181933966E-2</v>
      </c>
      <c r="W518">
        <f t="shared" si="215"/>
        <v>508</v>
      </c>
      <c r="Y518" s="56"/>
    </row>
    <row r="519" spans="3:25" x14ac:dyDescent="0.3">
      <c r="C519" s="157">
        <f t="shared" si="336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ref="K519:K520" si="381">SUM(E519:I519)</f>
        <v>3592046</v>
      </c>
      <c r="L519" s="6"/>
      <c r="M519" s="438">
        <f t="shared" ref="M519" si="382">+(K519-K518)/K518</f>
        <v>1.0802163777078567E-3</v>
      </c>
      <c r="N519" s="29"/>
      <c r="O519" s="29"/>
      <c r="P519" s="29"/>
      <c r="Q519" s="332">
        <f t="shared" ref="Q519" si="383">+K519-K518</f>
        <v>3876</v>
      </c>
      <c r="R519" s="6"/>
      <c r="S519" s="7">
        <f>53758+26659+8297</f>
        <v>88714</v>
      </c>
      <c r="T519" s="6"/>
      <c r="U519" s="243">
        <f t="shared" ref="U519" si="384">+S519/K519</f>
        <v>2.4697345189900129E-2</v>
      </c>
      <c r="W519">
        <f t="shared" si="215"/>
        <v>509</v>
      </c>
      <c r="Y519" s="56"/>
    </row>
    <row r="520" spans="3:25" x14ac:dyDescent="0.3">
      <c r="C520" s="157">
        <f t="shared" si="336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381"/>
        <v>3601299</v>
      </c>
      <c r="L520" s="6"/>
      <c r="M520" s="438">
        <f t="shared" ref="M520" si="385">+(K520-K519)/K519</f>
        <v>2.5759692387012862E-3</v>
      </c>
      <c r="N520" s="29"/>
      <c r="O520" s="29"/>
      <c r="P520" s="29"/>
      <c r="Q520" s="332">
        <f t="shared" ref="Q520" si="386">+K520-K519</f>
        <v>9253</v>
      </c>
      <c r="R520" s="6"/>
      <c r="S520" s="7">
        <f>53797+26665+8297</f>
        <v>88759</v>
      </c>
      <c r="T520" s="6"/>
      <c r="U520" s="243">
        <f t="shared" ref="U520" si="387">+S520/K520</f>
        <v>2.4646384540689344E-2</v>
      </c>
      <c r="W520">
        <f t="shared" si="215"/>
        <v>510</v>
      </c>
      <c r="Y520" s="56"/>
    </row>
    <row r="521" spans="3:25" x14ac:dyDescent="0.3">
      <c r="C521" s="157">
        <f t="shared" si="336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ref="K521" si="388">SUM(E521:I521)</f>
        <v>3608770</v>
      </c>
      <c r="L521" s="6"/>
      <c r="M521" s="438">
        <f t="shared" ref="M521" si="389">+(K521-K520)/K520</f>
        <v>2.0745292184847744E-3</v>
      </c>
      <c r="N521" s="29"/>
      <c r="O521" s="29"/>
      <c r="P521" s="29"/>
      <c r="Q521" s="332">
        <f t="shared" ref="Q521" si="390">+K521-K520</f>
        <v>7471</v>
      </c>
      <c r="R521" s="6"/>
      <c r="S521" s="7">
        <f>53828+26672+8307</f>
        <v>88807</v>
      </c>
      <c r="T521" s="6"/>
      <c r="U521" s="243">
        <f t="shared" ref="U521" si="391">+S521/K521</f>
        <v>2.4608661676970268E-2</v>
      </c>
      <c r="W521">
        <f t="shared" si="215"/>
        <v>511</v>
      </c>
      <c r="Y521" s="56"/>
    </row>
    <row r="522" spans="3:25" x14ac:dyDescent="0.3">
      <c r="C522" s="157">
        <f t="shared" si="336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ref="K522" si="392">SUM(E522:I522)</f>
        <v>3615798</v>
      </c>
      <c r="L522" s="6"/>
      <c r="M522" s="438">
        <f t="shared" ref="M522" si="393">+(K522-K521)/K521</f>
        <v>1.9474779495506779E-3</v>
      </c>
      <c r="N522" s="29"/>
      <c r="O522" s="29"/>
      <c r="P522" s="29"/>
      <c r="Q522" s="332">
        <f t="shared" ref="Q522" si="394">+K522-K521</f>
        <v>7028</v>
      </c>
      <c r="R522" s="6"/>
      <c r="S522" s="7">
        <f>53840+26681+8307</f>
        <v>88828</v>
      </c>
      <c r="T522" s="6"/>
      <c r="U522" s="243">
        <f t="shared" ref="U522" si="395">+S522/K522</f>
        <v>2.4566637848685131E-2</v>
      </c>
      <c r="W522">
        <f t="shared" si="215"/>
        <v>512</v>
      </c>
      <c r="Y522" s="56"/>
    </row>
    <row r="523" spans="3:25" x14ac:dyDescent="0.3">
      <c r="C523" s="157">
        <f t="shared" si="336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ref="K523" si="396">SUM(E523:I523)</f>
        <v>3622964</v>
      </c>
      <c r="L523" s="6"/>
      <c r="M523" s="438">
        <f t="shared" ref="M523" si="397">+(K523-K522)/K522</f>
        <v>1.9818584998387632E-3</v>
      </c>
      <c r="N523" s="29"/>
      <c r="O523" s="29"/>
      <c r="P523" s="29"/>
      <c r="Q523" s="332">
        <f t="shared" ref="Q523" si="398">+K523-K522</f>
        <v>7166</v>
      </c>
      <c r="R523" s="6"/>
      <c r="S523" s="7">
        <f>53855+26692+8307</f>
        <v>88854</v>
      </c>
      <c r="T523" s="6"/>
      <c r="U523" s="243">
        <f t="shared" ref="U523" si="399">+S523/K523</f>
        <v>2.4525222994211369E-2</v>
      </c>
      <c r="W523">
        <f t="shared" si="215"/>
        <v>513</v>
      </c>
      <c r="Y523" s="56"/>
    </row>
    <row r="524" spans="3:25" x14ac:dyDescent="0.3">
      <c r="C524" s="157">
        <f t="shared" si="336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ref="K524" si="400">SUM(E524:I524)</f>
        <v>3624293</v>
      </c>
      <c r="L524" s="6"/>
      <c r="M524" s="438">
        <f t="shared" ref="M524" si="401">+(K524-K523)/K523</f>
        <v>3.668267197797163E-4</v>
      </c>
      <c r="N524" s="29"/>
      <c r="O524" s="29"/>
      <c r="P524" s="29"/>
      <c r="Q524" s="332">
        <f t="shared" ref="Q524" si="402">+K524-K523</f>
        <v>1329</v>
      </c>
      <c r="R524" s="6"/>
      <c r="S524" s="7">
        <f>54067+26695+8307</f>
        <v>89069</v>
      </c>
      <c r="T524" s="6"/>
      <c r="U524" s="243">
        <f t="shared" ref="U524" si="403">+S524/K524</f>
        <v>2.457555170070411E-2</v>
      </c>
      <c r="W524">
        <f t="shared" si="215"/>
        <v>514</v>
      </c>
      <c r="Y524" s="56"/>
    </row>
    <row r="525" spans="3:25" x14ac:dyDescent="0.3">
      <c r="C525" s="157">
        <f t="shared" si="336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ref="K525" si="404">SUM(E525:I525)</f>
        <v>3633000</v>
      </c>
      <c r="L525" s="6"/>
      <c r="M525" s="438">
        <f t="shared" ref="M525" si="405">+(K525-K524)/K524</f>
        <v>2.4023995852432462E-3</v>
      </c>
      <c r="N525" s="29"/>
      <c r="O525" s="29"/>
      <c r="P525" s="29"/>
      <c r="Q525" s="332">
        <f t="shared" ref="Q525" si="406">+K525-K524</f>
        <v>8707</v>
      </c>
      <c r="R525" s="6"/>
      <c r="S525" s="7">
        <f>54067+26695+8307</f>
        <v>89069</v>
      </c>
      <c r="T525" s="6"/>
      <c r="U525" s="243">
        <f t="shared" ref="U525" si="407">+S525/K525</f>
        <v>2.4516652903936141E-2</v>
      </c>
      <c r="W525">
        <f t="shared" si="215"/>
        <v>515</v>
      </c>
      <c r="Y525" s="56"/>
    </row>
    <row r="526" spans="3:25" x14ac:dyDescent="0.3">
      <c r="C526" s="157">
        <f t="shared" si="336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ref="K526" si="408">SUM(E526:I526)</f>
        <v>3640652</v>
      </c>
      <c r="L526" s="6"/>
      <c r="M526" s="438">
        <f t="shared" ref="M526" si="409">+(K526-K525)/K525</f>
        <v>2.1062482796586845E-3</v>
      </c>
      <c r="N526" s="29"/>
      <c r="O526" s="29"/>
      <c r="P526" s="29"/>
      <c r="Q526" s="332">
        <f t="shared" ref="Q526" si="410">+K526-K525</f>
        <v>7652</v>
      </c>
      <c r="R526" s="6"/>
      <c r="S526" s="7">
        <f>54136+26716+8304</f>
        <v>89156</v>
      </c>
      <c r="T526" s="6"/>
      <c r="U526" s="243">
        <f t="shared" ref="U526" si="411">+S526/K526</f>
        <v>2.4489020098597724E-2</v>
      </c>
      <c r="W526">
        <f t="shared" si="215"/>
        <v>516</v>
      </c>
      <c r="Y526" s="56"/>
    </row>
    <row r="527" spans="3:25" x14ac:dyDescent="0.3">
      <c r="C527" s="157">
        <f t="shared" si="336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ref="K527" si="412">SUM(E527:I527)</f>
        <v>3648596</v>
      </c>
      <c r="L527" s="6"/>
      <c r="M527" s="438">
        <f t="shared" ref="M527" si="413">+(K527-K526)/K526</f>
        <v>2.1820267358703882E-3</v>
      </c>
      <c r="N527" s="29"/>
      <c r="O527" s="29"/>
      <c r="P527" s="29"/>
      <c r="Q527" s="332">
        <f t="shared" ref="Q527" si="414">+K527-K526</f>
        <v>7944</v>
      </c>
      <c r="R527" s="6"/>
      <c r="S527" s="7">
        <f>53939+26721+8307</f>
        <v>88967</v>
      </c>
      <c r="T527" s="6"/>
      <c r="U527" s="243">
        <f t="shared" ref="U527" si="415">+S527/K527</f>
        <v>2.4383899998794055E-2</v>
      </c>
      <c r="W527">
        <f t="shared" si="215"/>
        <v>517</v>
      </c>
      <c r="Y527" s="56"/>
    </row>
    <row r="528" spans="3:25" x14ac:dyDescent="0.3">
      <c r="C528" s="157">
        <f t="shared" si="336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ref="K528" si="416">SUM(E528:I528)</f>
        <v>3656235</v>
      </c>
      <c r="L528" s="6"/>
      <c r="M528" s="438">
        <f t="shared" ref="M528" si="417">+(K528-K527)/K527</f>
        <v>2.0936820629085819E-3</v>
      </c>
      <c r="N528" s="29"/>
      <c r="O528" s="29"/>
      <c r="P528" s="29"/>
      <c r="Q528" s="332">
        <f t="shared" ref="Q528" si="418">+K528-K527</f>
        <v>7639</v>
      </c>
      <c r="R528" s="6"/>
      <c r="S528" s="7">
        <f>53959+26731+8330</f>
        <v>89020</v>
      </c>
      <c r="T528" s="6"/>
      <c r="U528" s="243">
        <f t="shared" ref="U528" si="419">+S528/K528</f>
        <v>2.4347450314326075E-2</v>
      </c>
      <c r="W528">
        <f t="shared" si="215"/>
        <v>518</v>
      </c>
      <c r="Y528" s="56"/>
    </row>
    <row r="529" spans="3:25" x14ac:dyDescent="0.3">
      <c r="C529" s="157">
        <f t="shared" si="336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ref="K529" si="420">SUM(E529:I529)</f>
        <v>3663694</v>
      </c>
      <c r="L529" s="6"/>
      <c r="M529" s="438">
        <f t="shared" ref="M529" si="421">+(K529-K528)/K528</f>
        <v>2.040076745613999E-3</v>
      </c>
      <c r="N529" s="29"/>
      <c r="O529" s="29"/>
      <c r="P529" s="29"/>
      <c r="Q529" s="332">
        <f t="shared" ref="Q529" si="422">+K529-K528</f>
        <v>7459</v>
      </c>
      <c r="R529" s="6"/>
      <c r="S529" s="7">
        <f>53974+26739+8337</f>
        <v>89050</v>
      </c>
      <c r="T529" s="6"/>
      <c r="U529" s="243">
        <f t="shared" ref="U529" si="423">+S529/K529</f>
        <v>2.4306069229580854E-2</v>
      </c>
      <c r="W529">
        <f t="shared" si="215"/>
        <v>519</v>
      </c>
      <c r="Y529" s="56"/>
    </row>
    <row r="530" spans="3:25" x14ac:dyDescent="0.3">
      <c r="C530" s="157">
        <f t="shared" si="336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ref="K530" si="424">SUM(E530:I530)</f>
        <v>3671795</v>
      </c>
      <c r="L530" s="6"/>
      <c r="M530" s="438">
        <f t="shared" ref="M530" si="425">+(K530-K529)/K529</f>
        <v>2.2111562810649579E-3</v>
      </c>
      <c r="N530" s="29"/>
      <c r="O530" s="29"/>
      <c r="P530" s="29"/>
      <c r="Q530" s="332">
        <f t="shared" ref="Q530" si="426">+K530-K529</f>
        <v>8101</v>
      </c>
      <c r="R530" s="6"/>
      <c r="S530" s="7">
        <f>54012+26750+8337</f>
        <v>89099</v>
      </c>
      <c r="T530" s="6"/>
      <c r="U530" s="243">
        <f t="shared" ref="U530" si="427">+S530/K530</f>
        <v>2.4265788258876108E-2</v>
      </c>
      <c r="W530">
        <f t="shared" si="215"/>
        <v>520</v>
      </c>
      <c r="Y530" s="56"/>
    </row>
    <row r="531" spans="3:25" x14ac:dyDescent="0.3">
      <c r="C531" s="157">
        <f t="shared" si="336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ref="K531" si="428">SUM(E531:I531)</f>
        <v>3677801</v>
      </c>
      <c r="L531" s="6"/>
      <c r="M531" s="438">
        <f t="shared" ref="M531" si="429">+(K531-K530)/K530</f>
        <v>1.635712233389936E-3</v>
      </c>
      <c r="N531" s="29"/>
      <c r="O531" s="29"/>
      <c r="P531" s="29"/>
      <c r="Q531" s="332">
        <f t="shared" ref="Q531" si="430">+K531-K530</f>
        <v>6006</v>
      </c>
      <c r="R531" s="6"/>
      <c r="S531" s="7">
        <f>54029+26752+8337</f>
        <v>89118</v>
      </c>
      <c r="T531" s="6"/>
      <c r="U531" s="243">
        <f t="shared" ref="U531" si="431">+S531/K531</f>
        <v>2.4231327361105181E-2</v>
      </c>
      <c r="W531">
        <f t="shared" si="215"/>
        <v>521</v>
      </c>
      <c r="Y531" s="56"/>
    </row>
    <row r="532" spans="3:25" x14ac:dyDescent="0.3">
      <c r="C532" s="157">
        <f t="shared" si="336"/>
        <v>44431</v>
      </c>
      <c r="E532" s="241">
        <v>2241468</v>
      </c>
      <c r="F532" s="7"/>
      <c r="G532" s="7">
        <v>1075930</v>
      </c>
      <c r="H532" s="7"/>
      <c r="I532" s="7">
        <v>367410</v>
      </c>
      <c r="J532" s="244"/>
      <c r="K532" s="7">
        <f t="shared" ref="K532" si="432">SUM(E532:I532)</f>
        <v>3684808</v>
      </c>
      <c r="L532" s="6"/>
      <c r="M532" s="438">
        <f t="shared" ref="M532" si="433">+(K532-K531)/K531</f>
        <v>1.9052145561981194E-3</v>
      </c>
      <c r="N532" s="29"/>
      <c r="O532" s="29"/>
      <c r="P532" s="29"/>
      <c r="Q532" s="332">
        <f t="shared" ref="Q532" si="434">+K532-K531</f>
        <v>7007</v>
      </c>
      <c r="R532" s="6"/>
      <c r="S532" s="7">
        <f>54054+26755+8335</f>
        <v>89144</v>
      </c>
      <c r="T532" s="6"/>
      <c r="U532" s="243">
        <f t="shared" ref="U532" si="435">+S532/K532</f>
        <v>2.4192305270722383E-2</v>
      </c>
      <c r="W532">
        <f t="shared" si="215"/>
        <v>522</v>
      </c>
      <c r="Y532" s="56"/>
    </row>
    <row r="533" spans="3:25" x14ac:dyDescent="0.3">
      <c r="C533" s="157">
        <f t="shared" si="336"/>
        <v>44432</v>
      </c>
      <c r="E533" s="241">
        <v>2241468</v>
      </c>
      <c r="F533" s="7"/>
      <c r="G533" s="7">
        <v>1077787</v>
      </c>
      <c r="H533" s="7"/>
      <c r="I533" s="7">
        <v>367410</v>
      </c>
      <c r="J533" s="244"/>
      <c r="K533" s="7">
        <f t="shared" ref="K533" si="436">SUM(E533:I533)</f>
        <v>3686665</v>
      </c>
      <c r="L533" s="6"/>
      <c r="M533" s="438">
        <f t="shared" ref="M533" si="437">+(K533-K532)/K532</f>
        <v>5.0396112904661523E-4</v>
      </c>
      <c r="N533" s="29"/>
      <c r="O533" s="29"/>
      <c r="P533" s="29"/>
      <c r="Q533" s="332">
        <f t="shared" ref="Q533" si="438">+K533-K532</f>
        <v>1857</v>
      </c>
      <c r="R533" s="6"/>
      <c r="S533" s="7">
        <f>54054+26775+8335</f>
        <v>89164</v>
      </c>
      <c r="T533" s="6"/>
      <c r="U533" s="243">
        <f t="shared" ref="U533" si="439">+S533/K533</f>
        <v>2.4185544387678296E-2</v>
      </c>
      <c r="W533">
        <f t="shared" si="215"/>
        <v>523</v>
      </c>
      <c r="Y533" s="56"/>
    </row>
    <row r="534" spans="3:25" x14ac:dyDescent="0.3">
      <c r="C534" s="157">
        <f t="shared" si="336"/>
        <v>44433</v>
      </c>
      <c r="E534" s="241">
        <v>2248791</v>
      </c>
      <c r="F534" s="7"/>
      <c r="G534" s="7">
        <v>1079900</v>
      </c>
      <c r="H534" s="7"/>
      <c r="I534" s="7">
        <v>369132</v>
      </c>
      <c r="J534" s="244"/>
      <c r="K534" s="7">
        <f t="shared" ref="K534" si="440">SUM(E534:I534)</f>
        <v>3697823</v>
      </c>
      <c r="L534" s="6"/>
      <c r="M534" s="438">
        <f t="shared" ref="M534" si="441">+(K534-K533)/K533</f>
        <v>3.0265836467376342E-3</v>
      </c>
      <c r="N534" s="29"/>
      <c r="O534" s="29"/>
      <c r="P534" s="29"/>
      <c r="Q534" s="332">
        <f t="shared" ref="Q534" si="442">+K534-K533</f>
        <v>11158</v>
      </c>
      <c r="R534" s="6"/>
      <c r="S534" s="7">
        <f>54100+26796+8335</f>
        <v>89231</v>
      </c>
      <c r="T534" s="6"/>
      <c r="U534" s="243">
        <f t="shared" ref="U534" si="443">+S534/K534</f>
        <v>2.4130684459477914E-2</v>
      </c>
      <c r="W534">
        <f t="shared" si="215"/>
        <v>524</v>
      </c>
      <c r="Y534" s="56"/>
    </row>
    <row r="535" spans="3:25" x14ac:dyDescent="0.3">
      <c r="C535" s="157">
        <f t="shared" si="336"/>
        <v>44434</v>
      </c>
      <c r="E535" s="241">
        <v>2254155</v>
      </c>
      <c r="F535" s="7"/>
      <c r="G535" s="7">
        <v>1081954</v>
      </c>
      <c r="H535" s="7"/>
      <c r="I535" s="7">
        <v>369920</v>
      </c>
      <c r="J535" s="244"/>
      <c r="K535" s="7">
        <f t="shared" ref="K535" si="444">SUM(E535:I535)</f>
        <v>3706029</v>
      </c>
      <c r="L535" s="6"/>
      <c r="M535" s="438">
        <f t="shared" ref="M535" si="445">+(K535-K534)/K534</f>
        <v>2.2191435339117098E-3</v>
      </c>
      <c r="N535" s="29"/>
      <c r="O535" s="29"/>
      <c r="P535" s="29"/>
      <c r="Q535" s="332">
        <f t="shared" ref="Q535" si="446">+K535-K534</f>
        <v>8206</v>
      </c>
      <c r="R535" s="6"/>
      <c r="S535" s="7">
        <f>54130+26807+8355</f>
        <v>89292</v>
      </c>
      <c r="T535" s="6"/>
      <c r="U535" s="243">
        <f t="shared" ref="U535" si="447">+S535/K535</f>
        <v>2.409371324401401E-2</v>
      </c>
      <c r="W535">
        <f t="shared" si="215"/>
        <v>525</v>
      </c>
      <c r="Y535" s="56"/>
    </row>
    <row r="536" spans="3:25" x14ac:dyDescent="0.3">
      <c r="C536" s="157">
        <f t="shared" si="336"/>
        <v>44435</v>
      </c>
      <c r="E536" s="241">
        <v>2260536</v>
      </c>
      <c r="F536" s="7"/>
      <c r="G536" s="7">
        <v>1084546</v>
      </c>
      <c r="H536" s="7"/>
      <c r="I536" s="7">
        <v>370708</v>
      </c>
      <c r="J536" s="244"/>
      <c r="K536" s="7">
        <f t="shared" ref="K536" si="448">SUM(E536:I536)</f>
        <v>3715790</v>
      </c>
      <c r="L536" s="6"/>
      <c r="M536" s="438">
        <f t="shared" ref="M536:M540" si="449">+(K536-K535)/K535</f>
        <v>2.633816411042655E-3</v>
      </c>
      <c r="N536" s="29"/>
      <c r="O536" s="29"/>
      <c r="P536" s="29"/>
      <c r="Q536" s="332">
        <f t="shared" ref="Q536:Q542" si="450">+K536-K535</f>
        <v>9761</v>
      </c>
      <c r="R536" s="6"/>
      <c r="S536" s="7">
        <f>54152+26826+8358</f>
        <v>89336</v>
      </c>
      <c r="T536" s="6"/>
      <c r="U536" s="243">
        <f t="shared" ref="U536" si="451">+S536/K536</f>
        <v>2.4042262883532169E-2</v>
      </c>
      <c r="W536">
        <f t="shared" si="215"/>
        <v>526</v>
      </c>
      <c r="Y536" s="56"/>
    </row>
    <row r="537" spans="3:25" x14ac:dyDescent="0.3">
      <c r="C537" s="157">
        <f t="shared" si="336"/>
        <v>44436</v>
      </c>
      <c r="E537" s="241">
        <v>2262893</v>
      </c>
      <c r="F537" s="7"/>
      <c r="G537" s="7">
        <v>1086480</v>
      </c>
      <c r="H537" s="7"/>
      <c r="I537" s="7">
        <v>370708</v>
      </c>
      <c r="J537" s="244"/>
      <c r="K537" s="7">
        <f t="shared" ref="K537:K540" si="452">SUM(E537:I537)</f>
        <v>3720081</v>
      </c>
      <c r="L537" s="6"/>
      <c r="M537" s="438">
        <f t="shared" si="449"/>
        <v>1.1548015361470911E-3</v>
      </c>
      <c r="N537" s="29"/>
      <c r="O537" s="29"/>
      <c r="P537" s="29"/>
      <c r="Q537" s="332">
        <f t="shared" si="450"/>
        <v>4291</v>
      </c>
      <c r="R537" s="6"/>
      <c r="S537" s="7">
        <f>54159+26844+8358</f>
        <v>89361</v>
      </c>
      <c r="T537" s="6"/>
      <c r="U537" s="243">
        <f t="shared" ref="U537" si="453">+S537/K537</f>
        <v>2.402125115017657E-2</v>
      </c>
      <c r="W537">
        <f t="shared" si="215"/>
        <v>527</v>
      </c>
      <c r="Y537" s="56"/>
    </row>
    <row r="538" spans="3:25" x14ac:dyDescent="0.3">
      <c r="C538" s="157">
        <f t="shared" si="336"/>
        <v>44437</v>
      </c>
      <c r="E538" s="241">
        <v>2269038</v>
      </c>
      <c r="F538" s="7"/>
      <c r="G538" s="7">
        <v>1088330</v>
      </c>
      <c r="H538" s="7"/>
      <c r="I538" s="7">
        <v>370708</v>
      </c>
      <c r="J538" s="244"/>
      <c r="K538" s="7">
        <f t="shared" si="452"/>
        <v>3728076</v>
      </c>
      <c r="L538" s="6"/>
      <c r="M538" s="438">
        <f t="shared" si="449"/>
        <v>2.1491467524497451E-3</v>
      </c>
      <c r="N538" s="29"/>
      <c r="O538" s="29"/>
      <c r="P538" s="29"/>
      <c r="Q538" s="332">
        <f t="shared" si="450"/>
        <v>7995</v>
      </c>
      <c r="R538" s="6"/>
      <c r="S538" s="7">
        <f>54199+26849+8358</f>
        <v>89406</v>
      </c>
      <c r="T538" s="6"/>
      <c r="U538" s="243">
        <v>2.402125115017657E-2</v>
      </c>
      <c r="W538">
        <f t="shared" si="215"/>
        <v>528</v>
      </c>
      <c r="Y538" s="56"/>
    </row>
    <row r="539" spans="3:25" x14ac:dyDescent="0.3">
      <c r="C539" s="157">
        <f t="shared" si="336"/>
        <v>44438</v>
      </c>
      <c r="E539" s="241">
        <v>2274680</v>
      </c>
      <c r="F539" s="7"/>
      <c r="G539" s="7">
        <v>1089838</v>
      </c>
      <c r="H539" s="7"/>
      <c r="I539" s="7">
        <v>372069</v>
      </c>
      <c r="J539" s="244"/>
      <c r="K539" s="7">
        <f t="shared" si="452"/>
        <v>3736587</v>
      </c>
      <c r="L539" s="6"/>
      <c r="M539" s="438">
        <f t="shared" si="449"/>
        <v>2.2829470214663005E-3</v>
      </c>
      <c r="N539" s="29"/>
      <c r="O539" s="29"/>
      <c r="P539" s="29"/>
      <c r="Q539" s="332">
        <f t="shared" si="450"/>
        <v>8511</v>
      </c>
      <c r="R539" s="6"/>
      <c r="S539" s="7">
        <f>54230+26864+8358</f>
        <v>89452</v>
      </c>
      <c r="T539" s="6"/>
      <c r="U539" s="243">
        <v>2.402125115017657E-2</v>
      </c>
      <c r="W539">
        <f t="shared" si="215"/>
        <v>529</v>
      </c>
      <c r="Y539" s="56"/>
    </row>
    <row r="540" spans="3:25" x14ac:dyDescent="0.3">
      <c r="C540" s="157">
        <f t="shared" si="336"/>
        <v>44439</v>
      </c>
      <c r="E540" s="241">
        <v>2278590</v>
      </c>
      <c r="F540" s="7"/>
      <c r="G540" s="7">
        <v>1091966</v>
      </c>
      <c r="H540" s="7"/>
      <c r="I540" s="7">
        <v>373072</v>
      </c>
      <c r="J540" s="244"/>
      <c r="K540" s="7">
        <f t="shared" si="452"/>
        <v>3743628</v>
      </c>
      <c r="L540" s="6"/>
      <c r="M540" s="438">
        <f t="shared" si="449"/>
        <v>1.8843399069792834E-3</v>
      </c>
      <c r="N540" s="29"/>
      <c r="O540" s="29"/>
      <c r="P540" s="29"/>
      <c r="Q540" s="332">
        <f t="shared" si="450"/>
        <v>7041</v>
      </c>
      <c r="R540" s="6"/>
      <c r="S540" s="7">
        <f>54264+26882+8358</f>
        <v>89504</v>
      </c>
      <c r="T540" s="6"/>
      <c r="U540" s="243">
        <v>2.402125115017657E-2</v>
      </c>
      <c r="W540">
        <f t="shared" si="215"/>
        <v>530</v>
      </c>
      <c r="Y540" s="56"/>
    </row>
    <row r="541" spans="3:25" x14ac:dyDescent="0.3">
      <c r="C541" s="157">
        <f t="shared" si="336"/>
        <v>44440</v>
      </c>
      <c r="E541" s="241">
        <v>2282836</v>
      </c>
      <c r="F541" s="7"/>
      <c r="G541" s="7">
        <v>1094249</v>
      </c>
      <c r="H541" s="7"/>
      <c r="I541" s="7">
        <v>373784</v>
      </c>
      <c r="J541" s="244"/>
      <c r="K541" s="7">
        <f t="shared" ref="K541" si="454">SUM(E541:I541)</f>
        <v>3750869</v>
      </c>
      <c r="L541" s="6"/>
      <c r="M541" s="438">
        <f t="shared" ref="M541" si="455">+(K541-K540)/K540</f>
        <v>1.9342199598891771E-3</v>
      </c>
      <c r="N541" s="29"/>
      <c r="O541" s="29"/>
      <c r="P541" s="29"/>
      <c r="Q541" s="332">
        <f t="shared" si="450"/>
        <v>7241</v>
      </c>
      <c r="R541" s="6"/>
      <c r="S541" s="7">
        <f>54282+26902+8358</f>
        <v>89542</v>
      </c>
      <c r="T541" s="6"/>
      <c r="U541" s="243">
        <v>2.402125115017657E-2</v>
      </c>
      <c r="W541">
        <f t="shared" ref="W541:W552" si="456">+W540+1</f>
        <v>531</v>
      </c>
      <c r="Y541" s="56"/>
    </row>
    <row r="542" spans="3:25" x14ac:dyDescent="0.3">
      <c r="C542" s="157">
        <f t="shared" si="336"/>
        <v>44441</v>
      </c>
      <c r="E542" s="241">
        <v>2288001</v>
      </c>
      <c r="F542" s="7"/>
      <c r="G542" s="7">
        <v>1096791</v>
      </c>
      <c r="H542" s="7"/>
      <c r="I542" s="7">
        <v>374470</v>
      </c>
      <c r="J542" s="244"/>
      <c r="K542" s="7">
        <f t="shared" ref="K542" si="457">SUM(E542:I542)</f>
        <v>3759262</v>
      </c>
      <c r="L542" s="6"/>
      <c r="M542" s="438">
        <f t="shared" ref="M542" si="458">+(K542-K541)/K541</f>
        <v>2.2376148033962265E-3</v>
      </c>
      <c r="N542" s="29"/>
      <c r="O542" s="29"/>
      <c r="P542" s="29"/>
      <c r="Q542" s="332">
        <f t="shared" si="450"/>
        <v>8393</v>
      </c>
      <c r="R542" s="6"/>
      <c r="S542" s="7">
        <f>54333+26939+8394</f>
        <v>89666</v>
      </c>
      <c r="T542" s="6"/>
      <c r="U542" s="243">
        <v>2.402125115017657E-2</v>
      </c>
      <c r="W542">
        <f t="shared" si="456"/>
        <v>532</v>
      </c>
      <c r="Y542" s="56"/>
    </row>
    <row r="543" spans="3:25" x14ac:dyDescent="0.3">
      <c r="C543" s="157">
        <f t="shared" si="336"/>
        <v>44442</v>
      </c>
      <c r="E543" s="241">
        <v>2293966</v>
      </c>
      <c r="F543" s="7"/>
      <c r="G543" s="7">
        <v>1098626</v>
      </c>
      <c r="H543" s="7"/>
      <c r="I543" s="7">
        <v>375135</v>
      </c>
      <c r="J543" s="244"/>
      <c r="K543" s="7">
        <f t="shared" ref="K543" si="459">SUM(E543:I543)</f>
        <v>3767727</v>
      </c>
      <c r="L543" s="6"/>
      <c r="M543" s="438">
        <f t="shared" ref="M543" si="460">+(K543-K542)/K542</f>
        <v>2.2517717573289652E-3</v>
      </c>
      <c r="N543" s="29"/>
      <c r="O543" s="29"/>
      <c r="P543" s="29"/>
      <c r="Q543" s="332">
        <f t="shared" ref="Q543" si="461">+K543-K542</f>
        <v>8465</v>
      </c>
      <c r="R543" s="6"/>
      <c r="S543" s="7">
        <f>54361+26929+8394</f>
        <v>89684</v>
      </c>
      <c r="T543" s="6"/>
      <c r="U543" s="243">
        <v>2.402125115017657E-2</v>
      </c>
      <c r="W543">
        <f t="shared" si="456"/>
        <v>533</v>
      </c>
      <c r="Y543" s="56"/>
    </row>
    <row r="544" spans="3:25" x14ac:dyDescent="0.3">
      <c r="C544" s="157">
        <f t="shared" si="336"/>
        <v>44443</v>
      </c>
      <c r="E544" s="241">
        <v>2297542</v>
      </c>
      <c r="F544" s="7"/>
      <c r="G544" s="7">
        <v>1100774</v>
      </c>
      <c r="H544" s="7"/>
      <c r="I544" s="7">
        <v>375135</v>
      </c>
      <c r="J544" s="244"/>
      <c r="K544" s="7">
        <f t="shared" ref="K544" si="462">SUM(E544:I544)</f>
        <v>3773451</v>
      </c>
      <c r="L544" s="6"/>
      <c r="M544" s="438">
        <f t="shared" ref="M544" si="463">+(K544-K543)/K543</f>
        <v>1.5192183510111003E-3</v>
      </c>
      <c r="N544" s="29"/>
      <c r="O544" s="29"/>
      <c r="P544" s="29"/>
      <c r="Q544" s="332">
        <f t="shared" ref="Q544" si="464">+K544-K543</f>
        <v>5724</v>
      </c>
      <c r="R544" s="6"/>
      <c r="S544" s="7">
        <f>54361+26929+8394</f>
        <v>89684</v>
      </c>
      <c r="T544" s="6"/>
      <c r="U544" s="243">
        <v>2.402125115017657E-2</v>
      </c>
      <c r="W544">
        <f t="shared" si="456"/>
        <v>534</v>
      </c>
      <c r="Y544" s="56"/>
    </row>
    <row r="545" spans="3:25" x14ac:dyDescent="0.3">
      <c r="C545" s="157">
        <f t="shared" si="336"/>
        <v>44444</v>
      </c>
      <c r="E545" s="241">
        <v>2303739</v>
      </c>
      <c r="F545" s="7"/>
      <c r="G545" s="7">
        <v>1102488</v>
      </c>
      <c r="H545" s="7"/>
      <c r="I545" s="7">
        <v>375135</v>
      </c>
      <c r="J545" s="244"/>
      <c r="K545" s="7">
        <f t="shared" ref="K545" si="465">SUM(E545:I545)</f>
        <v>3781362</v>
      </c>
      <c r="L545" s="6"/>
      <c r="M545" s="438">
        <f t="shared" ref="M545" si="466">+(K545-K544)/K544</f>
        <v>2.0964893939261434E-3</v>
      </c>
      <c r="N545" s="29"/>
      <c r="O545" s="29"/>
      <c r="P545" s="29"/>
      <c r="Q545" s="332">
        <f t="shared" ref="Q545" si="467">+K545-K544</f>
        <v>7911</v>
      </c>
      <c r="R545" s="6"/>
      <c r="S545" s="7">
        <f>54420+26948+8394</f>
        <v>89762</v>
      </c>
      <c r="T545" s="6"/>
      <c r="U545" s="243">
        <v>2.402125115017657E-2</v>
      </c>
      <c r="W545">
        <f t="shared" si="456"/>
        <v>535</v>
      </c>
      <c r="Y545" s="56"/>
    </row>
    <row r="546" spans="3:25" x14ac:dyDescent="0.3">
      <c r="C546" s="157">
        <f t="shared" si="336"/>
        <v>44445</v>
      </c>
      <c r="E546" s="241">
        <v>2307414</v>
      </c>
      <c r="F546" s="7"/>
      <c r="G546" s="7">
        <v>1104139</v>
      </c>
      <c r="H546" s="7"/>
      <c r="I546" s="7">
        <v>375135</v>
      </c>
      <c r="J546" s="244"/>
      <c r="K546" s="7">
        <f t="shared" ref="K546" si="468">SUM(E546:I546)</f>
        <v>3786688</v>
      </c>
      <c r="L546" s="6"/>
      <c r="M546" s="438">
        <f t="shared" ref="M546" si="469">+(K546-K545)/K545</f>
        <v>1.4084872064615871E-3</v>
      </c>
      <c r="N546" s="29"/>
      <c r="O546" s="29"/>
      <c r="P546" s="29"/>
      <c r="Q546" s="332">
        <f t="shared" ref="Q546" si="470">+K546-K545</f>
        <v>5326</v>
      </c>
      <c r="R546" s="6"/>
      <c r="S546" s="7">
        <f>54449+26952+8394</f>
        <v>89795</v>
      </c>
      <c r="T546" s="6"/>
      <c r="U546" s="243">
        <v>2.402125115017657E-2</v>
      </c>
      <c r="W546">
        <f t="shared" si="456"/>
        <v>536</v>
      </c>
      <c r="Y546" s="56"/>
    </row>
    <row r="547" spans="3:25" x14ac:dyDescent="0.3">
      <c r="C547" s="157">
        <f t="shared" si="336"/>
        <v>44446</v>
      </c>
      <c r="E547" s="241">
        <v>2310000</v>
      </c>
      <c r="F547" s="7"/>
      <c r="G547" s="7">
        <v>1106000</v>
      </c>
      <c r="H547" s="7"/>
      <c r="I547" s="7">
        <v>377682</v>
      </c>
      <c r="J547" s="727" t="s">
        <v>26</v>
      </c>
      <c r="K547" s="7">
        <f t="shared" ref="K547" si="471">SUM(E547:I547)</f>
        <v>3793682</v>
      </c>
      <c r="L547" s="6"/>
      <c r="M547" s="438">
        <f t="shared" ref="M547" si="472">+(K547-K546)/K546</f>
        <v>1.8469966366386668E-3</v>
      </c>
      <c r="N547" s="29"/>
      <c r="O547" s="29"/>
      <c r="P547" s="29"/>
      <c r="Q547" s="332">
        <f t="shared" ref="Q547" si="473">+K547-K546</f>
        <v>6994</v>
      </c>
      <c r="R547" s="6"/>
      <c r="S547" s="7">
        <f>54500+27007+8415</f>
        <v>89922</v>
      </c>
      <c r="T547" s="6"/>
      <c r="U547" s="243">
        <v>2.402125115017657E-2</v>
      </c>
      <c r="W547">
        <f t="shared" si="456"/>
        <v>537</v>
      </c>
      <c r="Y547" s="56"/>
    </row>
    <row r="548" spans="3:25" x14ac:dyDescent="0.3">
      <c r="C548" s="157">
        <f t="shared" si="336"/>
        <v>44447</v>
      </c>
      <c r="E548" s="241">
        <v>2313361</v>
      </c>
      <c r="F548" s="7"/>
      <c r="G548" s="7">
        <v>1108291</v>
      </c>
      <c r="H548" s="7"/>
      <c r="I548" s="7">
        <v>377682</v>
      </c>
      <c r="J548" s="244"/>
      <c r="K548" s="7">
        <f t="shared" ref="K548" si="474">SUM(E548:I548)</f>
        <v>3799334</v>
      </c>
      <c r="L548" s="6"/>
      <c r="M548" s="438">
        <f t="shared" ref="M548" si="475">+(K548-K547)/K547</f>
        <v>1.489845485204084E-3</v>
      </c>
      <c r="N548" s="29"/>
      <c r="O548" s="29"/>
      <c r="P548" s="29"/>
      <c r="Q548" s="332">
        <f t="shared" ref="Q548" si="476">+K548-K547</f>
        <v>5652</v>
      </c>
      <c r="R548" s="6"/>
      <c r="S548" s="7">
        <f>54500+27007+8415</f>
        <v>89922</v>
      </c>
      <c r="T548" s="6"/>
      <c r="U548" s="243">
        <v>2.402125115017657E-2</v>
      </c>
      <c r="W548">
        <f t="shared" si="456"/>
        <v>538</v>
      </c>
      <c r="Y548" s="56"/>
    </row>
    <row r="549" spans="3:25" x14ac:dyDescent="0.3">
      <c r="C549" s="157">
        <f t="shared" si="336"/>
        <v>44448</v>
      </c>
      <c r="E549" s="241">
        <v>2319680</v>
      </c>
      <c r="F549" s="7"/>
      <c r="G549" s="7">
        <v>1110501</v>
      </c>
      <c r="H549" s="7"/>
      <c r="I549" s="7">
        <v>378308</v>
      </c>
      <c r="J549" s="244"/>
      <c r="K549" s="7">
        <f t="shared" ref="K549" si="477">SUM(E549:I549)</f>
        <v>3808489</v>
      </c>
      <c r="L549" s="6"/>
      <c r="M549" s="438">
        <f t="shared" ref="M549" si="478">+(K549-K548)/K548</f>
        <v>2.4096328461777777E-3</v>
      </c>
      <c r="N549" s="29"/>
      <c r="O549" s="29"/>
      <c r="P549" s="29"/>
      <c r="Q549" s="332">
        <f t="shared" ref="Q549" si="479">+K549-K548</f>
        <v>9155</v>
      </c>
      <c r="R549" s="6"/>
      <c r="S549" s="7">
        <f>54569+27024+8416</f>
        <v>90009</v>
      </c>
      <c r="T549" s="6"/>
      <c r="U549" s="243">
        <v>2.402125115017657E-2</v>
      </c>
      <c r="W549">
        <f t="shared" si="456"/>
        <v>539</v>
      </c>
      <c r="Y549" s="56"/>
    </row>
    <row r="550" spans="3:25" x14ac:dyDescent="0.3">
      <c r="C550" s="157">
        <f t="shared" si="336"/>
        <v>44449</v>
      </c>
      <c r="E550" s="241">
        <v>2325332</v>
      </c>
      <c r="F550" s="7"/>
      <c r="G550" s="7">
        <v>1113165</v>
      </c>
      <c r="H550" s="7"/>
      <c r="I550" s="7">
        <v>378933</v>
      </c>
      <c r="J550" s="244"/>
      <c r="K550" s="7">
        <f t="shared" ref="K550" si="480">SUM(E550:I550)</f>
        <v>3817430</v>
      </c>
      <c r="L550" s="6"/>
      <c r="M550" s="438">
        <f t="shared" ref="M550" si="481">+(K550-K549)/K549</f>
        <v>2.3476502098338735E-3</v>
      </c>
      <c r="N550" s="29"/>
      <c r="O550" s="29"/>
      <c r="P550" s="29"/>
      <c r="Q550" s="332">
        <f t="shared" ref="Q550" si="482">+K550-K549</f>
        <v>8941</v>
      </c>
      <c r="R550" s="6"/>
      <c r="S550" s="7">
        <f>54602+27039+8424</f>
        <v>90065</v>
      </c>
      <c r="T550" s="6"/>
      <c r="U550" s="243">
        <v>2.402125115017657E-2</v>
      </c>
      <c r="W550">
        <f t="shared" si="456"/>
        <v>540</v>
      </c>
      <c r="Y550" s="56"/>
    </row>
    <row r="551" spans="3:25" x14ac:dyDescent="0.3">
      <c r="C551" s="157">
        <f t="shared" si="336"/>
        <v>44450</v>
      </c>
      <c r="E551" s="241">
        <v>2331615</v>
      </c>
      <c r="F551" s="7"/>
      <c r="G551" s="7">
        <v>1115659</v>
      </c>
      <c r="H551" s="7"/>
      <c r="I551" s="7">
        <v>378933</v>
      </c>
      <c r="J551" s="244"/>
      <c r="K551" s="7">
        <f t="shared" ref="K551" si="483">SUM(E551:I551)</f>
        <v>3826207</v>
      </c>
      <c r="L551" s="6"/>
      <c r="M551" s="438">
        <f t="shared" ref="M551" si="484">+(K551-K550)/K550</f>
        <v>2.2991908168584624E-3</v>
      </c>
      <c r="N551" s="29"/>
      <c r="O551" s="29"/>
      <c r="P551" s="29"/>
      <c r="Q551" s="332">
        <f t="shared" ref="Q551" si="485">+K551-K550</f>
        <v>8777</v>
      </c>
      <c r="R551" s="6"/>
      <c r="S551" s="7">
        <f>54636+27054+8424</f>
        <v>90114</v>
      </c>
      <c r="T551" s="6"/>
      <c r="U551" s="243">
        <v>2.402125115017657E-2</v>
      </c>
      <c r="W551">
        <f t="shared" si="456"/>
        <v>541</v>
      </c>
      <c r="Y551" s="56"/>
    </row>
    <row r="552" spans="3:25" x14ac:dyDescent="0.3">
      <c r="C552" s="157">
        <f t="shared" si="336"/>
        <v>44451</v>
      </c>
      <c r="E552" s="241">
        <v>2335720</v>
      </c>
      <c r="F552" s="7"/>
      <c r="G552" s="7">
        <v>1117506</v>
      </c>
      <c r="H552" s="7"/>
      <c r="I552" s="7">
        <v>378933</v>
      </c>
      <c r="J552" s="244"/>
      <c r="K552" s="7">
        <f t="shared" ref="K552" si="486">SUM(E552:I552)</f>
        <v>3832159</v>
      </c>
      <c r="L552" s="6"/>
      <c r="M552" s="438">
        <f t="shared" ref="M552" si="487">+(K552-K551)/K551</f>
        <v>1.5555875570767604E-3</v>
      </c>
      <c r="N552" s="29"/>
      <c r="O552" s="29"/>
      <c r="P552" s="29"/>
      <c r="Q552" s="332">
        <f t="shared" ref="Q552" si="488">+K552-K551</f>
        <v>5952</v>
      </c>
      <c r="R552" s="6"/>
      <c r="S552" s="7">
        <f>54656+27058+8424</f>
        <v>90138</v>
      </c>
      <c r="T552" s="6"/>
      <c r="U552" s="243">
        <v>2.402125115017657E-2</v>
      </c>
      <c r="W552">
        <f t="shared" si="456"/>
        <v>542</v>
      </c>
      <c r="Y552" s="56"/>
    </row>
    <row r="553" spans="3:25" x14ac:dyDescent="0.3">
      <c r="C553" s="157">
        <f t="shared" si="336"/>
        <v>44452</v>
      </c>
      <c r="E553" s="241"/>
      <c r="F553" s="7"/>
      <c r="G553" s="7"/>
      <c r="H553" s="7"/>
      <c r="I553" s="7"/>
      <c r="J553" s="244"/>
      <c r="K553" s="7"/>
      <c r="L553" s="6"/>
      <c r="M553" s="438"/>
      <c r="N553" s="29"/>
      <c r="O553" s="29"/>
      <c r="P553" s="29"/>
      <c r="Q553" s="332"/>
      <c r="R553" s="6"/>
      <c r="S553" s="7"/>
      <c r="T553" s="6"/>
      <c r="U553" s="243"/>
      <c r="Y553" s="56"/>
    </row>
    <row r="554" spans="3:25" ht="15" thickBot="1" x14ac:dyDescent="0.35">
      <c r="C554" s="157">
        <f t="shared" si="336"/>
        <v>44453</v>
      </c>
      <c r="E554" s="245"/>
      <c r="F554" s="246"/>
      <c r="G554" s="246"/>
      <c r="H554" s="246"/>
      <c r="I554" s="246"/>
      <c r="J554" s="246"/>
      <c r="K554" s="246"/>
      <c r="L554" s="247"/>
      <c r="M554" s="248"/>
      <c r="N554" s="248"/>
      <c r="O554" s="248"/>
      <c r="P554" s="248"/>
      <c r="Q554" s="331"/>
      <c r="R554" s="247"/>
      <c r="S554" s="247"/>
      <c r="T554" s="247"/>
      <c r="U554" s="249"/>
      <c r="W554">
        <f>+W405+1</f>
        <v>396</v>
      </c>
      <c r="Y554" s="59"/>
    </row>
    <row r="555" spans="3:25" x14ac:dyDescent="0.3">
      <c r="E555" s="56"/>
      <c r="F555" s="1"/>
      <c r="G555" s="56"/>
      <c r="H555" s="56"/>
      <c r="I555" s="56"/>
      <c r="J555" s="1"/>
      <c r="K555" s="56"/>
      <c r="S555" s="56"/>
    </row>
    <row r="556" spans="3:25" x14ac:dyDescent="0.3">
      <c r="C556" s="166" t="s">
        <v>73</v>
      </c>
      <c r="E556" s="56">
        <f>+E552</f>
        <v>2335720</v>
      </c>
      <c r="F556" s="56"/>
      <c r="G556" s="56">
        <f t="shared" ref="G556:U556" si="489">+G552</f>
        <v>1117506</v>
      </c>
      <c r="H556" s="56">
        <f t="shared" si="489"/>
        <v>0</v>
      </c>
      <c r="I556" s="56">
        <f t="shared" si="489"/>
        <v>378933</v>
      </c>
      <c r="J556" s="56">
        <f t="shared" si="489"/>
        <v>0</v>
      </c>
      <c r="K556" s="56">
        <f t="shared" si="489"/>
        <v>3832159</v>
      </c>
      <c r="L556" s="56">
        <f t="shared" si="489"/>
        <v>0</v>
      </c>
      <c r="M556" s="56">
        <f t="shared" si="489"/>
        <v>1.5555875570767604E-3</v>
      </c>
      <c r="N556" s="56">
        <f t="shared" si="489"/>
        <v>0</v>
      </c>
      <c r="O556" s="56">
        <f t="shared" si="489"/>
        <v>0</v>
      </c>
      <c r="P556" s="56">
        <f t="shared" si="489"/>
        <v>0</v>
      </c>
      <c r="Q556" s="56">
        <f t="shared" si="489"/>
        <v>5952</v>
      </c>
      <c r="R556" s="56">
        <f t="shared" si="489"/>
        <v>0</v>
      </c>
      <c r="S556" s="56">
        <f t="shared" si="489"/>
        <v>90138</v>
      </c>
      <c r="T556" s="56">
        <f t="shared" si="489"/>
        <v>0</v>
      </c>
      <c r="U556" s="56">
        <f t="shared" si="489"/>
        <v>2.402125115017657E-2</v>
      </c>
      <c r="V556" s="56">
        <f>+V259</f>
        <v>0</v>
      </c>
    </row>
    <row r="557" spans="3:25" x14ac:dyDescent="0.3">
      <c r="E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</row>
    <row r="558" spans="3:25" x14ac:dyDescent="0.3">
      <c r="E558" s="59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</row>
    <row r="559" spans="3:25" x14ac:dyDescent="0.3">
      <c r="C559" s="111"/>
      <c r="D559" s="112"/>
      <c r="E559" s="349"/>
      <c r="F559" s="10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</row>
    <row r="560" spans="3:25" x14ac:dyDescent="0.3">
      <c r="E560" s="56"/>
      <c r="K560" s="56"/>
      <c r="Q560" s="56"/>
    </row>
    <row r="561" spans="3:41" x14ac:dyDescent="0.3">
      <c r="D561" s="549" t="s">
        <v>26</v>
      </c>
      <c r="E561" t="s">
        <v>158</v>
      </c>
      <c r="K561" s="549"/>
      <c r="Q561" s="56"/>
      <c r="S561" s="59"/>
    </row>
    <row r="563" spans="3:41" x14ac:dyDescent="0.3">
      <c r="U563" s="549"/>
    </row>
    <row r="564" spans="3:41" x14ac:dyDescent="0.3">
      <c r="AO564" s="1">
        <v>3797000</v>
      </c>
    </row>
    <row r="565" spans="3:41" x14ac:dyDescent="0.3">
      <c r="C565" s="1"/>
    </row>
    <row r="566" spans="3:41" x14ac:dyDescent="0.3">
      <c r="C566" s="1"/>
      <c r="AO566" s="1">
        <v>30000</v>
      </c>
    </row>
    <row r="567" spans="3:41" x14ac:dyDescent="0.3">
      <c r="C567" s="59"/>
    </row>
    <row r="568" spans="3:41" x14ac:dyDescent="0.3">
      <c r="AO568" s="235">
        <f>+AO566/AO564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547"/>
  <sheetViews>
    <sheetView tabSelected="1" topLeftCell="A491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660" t="s">
        <v>101</v>
      </c>
      <c r="U3" s="661"/>
      <c r="V3" s="661"/>
      <c r="W3" s="661"/>
      <c r="X3" s="661"/>
      <c r="Y3" s="661"/>
      <c r="Z3" s="661"/>
      <c r="AA3" s="661"/>
      <c r="AB3" s="661"/>
      <c r="AC3" s="661"/>
      <c r="AD3" s="662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2.0324483324987663E-2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663" t="s">
        <v>91</v>
      </c>
      <c r="F15" s="663"/>
      <c r="G15" s="663"/>
      <c r="H15" s="663"/>
      <c r="I15" s="663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669" t="s">
        <v>44</v>
      </c>
      <c r="E18" s="670"/>
      <c r="F18" s="670"/>
      <c r="G18" s="670"/>
      <c r="H18" s="670"/>
      <c r="I18" s="670"/>
      <c r="J18" s="670"/>
      <c r="K18" s="670"/>
      <c r="L18" s="670"/>
      <c r="M18" s="670"/>
      <c r="N18" s="670"/>
      <c r="O18" s="671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672" t="s">
        <v>67</v>
      </c>
      <c r="F19" s="672"/>
      <c r="G19" s="672"/>
      <c r="H19" s="672"/>
      <c r="I19" s="134" t="s">
        <v>66</v>
      </c>
      <c r="J19" s="135"/>
      <c r="K19" s="677" t="s">
        <v>64</v>
      </c>
      <c r="L19" s="677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Table'!$H$543</f>
        <v>39256532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Table'!AA558</f>
        <v>646308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25712</v>
      </c>
      <c r="J22" s="116"/>
      <c r="K22" s="127"/>
      <c r="L22" s="238">
        <v>25790</v>
      </c>
      <c r="M22" s="127"/>
      <c r="N22" s="147">
        <f>+(I22-L22)/I22</f>
        <v>-3.0336029869321717E-3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38584512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Table'!AP558</f>
        <v>31871868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673" t="s">
        <v>47</v>
      </c>
      <c r="E25" s="674"/>
      <c r="F25" s="674"/>
      <c r="G25" s="674"/>
      <c r="H25" s="674"/>
      <c r="I25" s="119">
        <f>+I23-I24</f>
        <v>6712644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31871868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673" t="s">
        <v>44</v>
      </c>
      <c r="E27" s="674"/>
      <c r="F27" s="674"/>
      <c r="G27" s="674"/>
      <c r="H27" s="674"/>
      <c r="I27" s="136">
        <f>+I25+I26</f>
        <v>38584512</v>
      </c>
      <c r="J27" s="116"/>
      <c r="K27" s="678">
        <v>38526003</v>
      </c>
      <c r="L27" s="678"/>
      <c r="M27" s="127"/>
      <c r="N27" s="137">
        <f>+I27-K27</f>
        <v>58509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675" t="s">
        <v>61</v>
      </c>
      <c r="F28" s="675"/>
      <c r="G28" s="675"/>
      <c r="H28" s="124"/>
      <c r="I28" s="232">
        <f>+I27/I32</f>
        <v>0.96353585597377811</v>
      </c>
      <c r="J28" s="127"/>
      <c r="K28" s="127"/>
      <c r="L28" s="127"/>
      <c r="M28" s="98"/>
      <c r="N28" s="463">
        <f>+N27/K27</f>
        <v>1.5186885595165427E-3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684" t="s">
        <v>101</v>
      </c>
      <c r="F31" s="685"/>
      <c r="G31" s="685"/>
      <c r="H31" s="685"/>
      <c r="I31" s="685"/>
      <c r="J31" s="686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79">
        <f>+'Main Table'!H558</f>
        <v>40044708</v>
      </c>
      <c r="J32" s="679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80">
        <f>+I27</f>
        <v>38584512</v>
      </c>
      <c r="J34" s="681"/>
      <c r="K34" s="22"/>
      <c r="L34" s="25">
        <f>+I34/$I$32</f>
        <v>0.96353585597377811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687">
        <f>+I21</f>
        <v>646308</v>
      </c>
      <c r="J35" s="688"/>
      <c r="K35" s="22"/>
      <c r="L35" s="25">
        <f>+I35/$I$32</f>
        <v>1.6139660701234231E-2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676" t="s">
        <v>101</v>
      </c>
      <c r="F36" s="676"/>
      <c r="G36" s="676"/>
      <c r="H36" s="233"/>
      <c r="I36" s="682">
        <f>+I32-I34-I35</f>
        <v>813888</v>
      </c>
      <c r="J36" s="683"/>
      <c r="K36" s="259"/>
      <c r="L36" s="234">
        <f>+I36/$I$32</f>
        <v>2.0324483324987663E-2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664" t="s">
        <v>114</v>
      </c>
      <c r="E41" s="665"/>
      <c r="F41" s="665"/>
      <c r="G41" s="665"/>
      <c r="H41" s="665"/>
      <c r="I41" s="665"/>
      <c r="J41" s="665"/>
      <c r="K41" s="665"/>
      <c r="L41" s="665"/>
      <c r="M41" s="665"/>
      <c r="N41" s="665"/>
      <c r="O41" s="666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667" t="s">
        <v>67</v>
      </c>
      <c r="F42" s="667"/>
      <c r="G42" s="667"/>
      <c r="H42" s="667"/>
      <c r="I42" s="260" t="s">
        <v>66</v>
      </c>
      <c r="J42" s="261"/>
      <c r="K42" s="668" t="s">
        <v>35</v>
      </c>
      <c r="L42" s="668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Table'!AP576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90" t="s">
        <v>47</v>
      </c>
      <c r="E48" s="691"/>
      <c r="F48" s="691"/>
      <c r="G48" s="691"/>
      <c r="H48" s="691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90" t="s">
        <v>44</v>
      </c>
      <c r="E50" s="691"/>
      <c r="F50" s="691"/>
      <c r="G50" s="691"/>
      <c r="H50" s="691"/>
      <c r="I50" s="340">
        <f>+I48+I49</f>
        <v>22172</v>
      </c>
      <c r="J50" s="336"/>
      <c r="K50" s="692">
        <v>30167</v>
      </c>
      <c r="L50" s="692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93" t="s">
        <v>61</v>
      </c>
      <c r="F51" s="693"/>
      <c r="G51" s="693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56" t="s">
        <v>115</v>
      </c>
      <c r="F54" s="657"/>
      <c r="G54" s="657"/>
      <c r="H54" s="657"/>
      <c r="I54" s="657"/>
      <c r="J54" s="658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94">
        <f>+K50</f>
        <v>30167</v>
      </c>
      <c r="J55" s="694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95">
        <f>+I50</f>
        <v>22172</v>
      </c>
      <c r="J57" s="696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7">
        <f>+I44</f>
        <v>1836</v>
      </c>
      <c r="J58" s="698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9" t="s">
        <v>101</v>
      </c>
      <c r="F59" s="699"/>
      <c r="G59" s="699"/>
      <c r="H59" s="267"/>
      <c r="I59" s="659">
        <f>+I55-I57-I58</f>
        <v>6159</v>
      </c>
      <c r="J59" s="700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1">
        <f>+I45</f>
        <v>1397</v>
      </c>
      <c r="J60" s="701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59">
        <f>+I59-I60</f>
        <v>4762</v>
      </c>
      <c r="J61" s="659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56" t="s">
        <v>104</v>
      </c>
      <c r="F64" s="657"/>
      <c r="G64" s="657"/>
      <c r="H64" s="657"/>
      <c r="I64" s="657"/>
      <c r="J64" s="657"/>
      <c r="K64" s="657"/>
      <c r="L64" s="657"/>
      <c r="M64" s="658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89">
        <v>11690000</v>
      </c>
      <c r="J65" s="689"/>
      <c r="K65" s="689"/>
      <c r="L65" s="689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655" t="s">
        <v>95</v>
      </c>
      <c r="G67" s="655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718" t="s">
        <v>118</v>
      </c>
      <c r="E72" s="719"/>
      <c r="F72" s="719"/>
      <c r="G72" s="719"/>
      <c r="H72" s="719"/>
      <c r="I72" s="719"/>
      <c r="J72" s="719"/>
      <c r="K72" s="719"/>
      <c r="L72" s="719"/>
      <c r="M72" s="719"/>
      <c r="N72" s="719"/>
      <c r="O72" s="720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721" t="s">
        <v>67</v>
      </c>
      <c r="F73" s="721"/>
      <c r="G73" s="721"/>
      <c r="H73" s="721"/>
      <c r="I73" s="355" t="s">
        <v>66</v>
      </c>
      <c r="J73" s="356"/>
      <c r="K73" s="722" t="s">
        <v>35</v>
      </c>
      <c r="L73" s="722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Table'!AP617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723" t="s">
        <v>47</v>
      </c>
      <c r="E79" s="724"/>
      <c r="F79" s="724"/>
      <c r="G79" s="724"/>
      <c r="H79" s="724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723" t="s">
        <v>44</v>
      </c>
      <c r="E81" s="724"/>
      <c r="F81" s="724"/>
      <c r="G81" s="724"/>
      <c r="H81" s="724"/>
      <c r="I81" s="370">
        <f>+I79+I80</f>
        <v>36684</v>
      </c>
      <c r="J81" s="363"/>
      <c r="K81" s="726">
        <v>48675</v>
      </c>
      <c r="L81" s="726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725" t="s">
        <v>61</v>
      </c>
      <c r="F82" s="725"/>
      <c r="G82" s="725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2.0324483324987663E-2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2.0324483324987663E-2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2.0324483324987663E-2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2.0324483324987663E-2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ref="AA396" si="23">+W395-W396</f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ref="AA397" si="24">+W396-W397</f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ref="AA398" si="25">+W397-W398</f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ref="AA399" si="26">+W398-W399</f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ref="AA400" si="27">+W399-W400</f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ref="AA401" si="28">+W400-W401</f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ref="AA402" si="29">+W401-W402</f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ref="AA403" si="30">+W402-W403</f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ref="AA404" si="31">+W403-W404</f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ref="AA405" si="32">+W404-W405</f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ref="AA406" si="33">+W405-W406</f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ref="AA407" si="34">+W406-W407</f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ref="AA408" si="35">+W407-W408</f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ref="AA409" si="36">+W408-W409</f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ref="AA410" si="37">+W409-W410</f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ref="AA411" si="38">+W410-W411</f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ref="AA412" si="39">+W411-W412</f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ref="AA413" si="40">+W412-W413</f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ref="AA414" si="41">+W413-W414</f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ref="AA415" si="42">+W414-W415</f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ref="AA416" si="43">+W415-W416</f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ref="AA417" si="44">+W416-W417</f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ref="AA418" si="45">+W417-W418</f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ref="AA419" si="46">+W418-W419</f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ref="AA420" si="47">+W419-W420</f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ref="AA421" si="48">+W420-W421</f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ref="AA422" si="49">+W421-W422</f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ref="AA423" si="50">+W422-W423</f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ref="AA424" si="51">+W423-W424</f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ref="AA425" si="52">+W424-W425</f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ref="AA426" si="53">+W425-W426</f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" si="54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ref="AA428" si="55">+W427-W428</f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ref="AA429" si="56">+W428-W429</f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ref="AA430" si="57">+W429-W430</f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ref="AA431" si="58">+W430-W431</f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ref="AA432" si="59">+W431-W432</f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ref="AA433" si="60">+W432-W433</f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ref="AA434" si="61">+W433-W434</f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ref="AA435" si="62">+W434-W435</f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ref="AA436" si="63">+W435-W436</f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ref="AA437" si="64">+W436-W437</f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ref="AA438" si="65">+W437-W438</f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ref="AA439" si="66">+W438-W439</f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ref="AA440" si="67">+W439-W440</f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ref="AA441" si="68">+W440-W441</f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ref="AA442" si="69">+W441-W442</f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ref="AA443" si="70">+W442-W443</f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ref="AA444" si="71">+W443-W444</f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ref="AA445" si="72">+W444-W445</f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ref="AA446" si="73">+W445-W446</f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ref="AA447" si="74">+W446-W447</f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ref="AA448" si="75">+W447-W448</f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ref="AA449" si="76">+W448-W449</f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ref="AA450" si="77">+W449-W450</f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ref="AA451" si="78">+W450-W451</f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ref="AA452" si="79">+W451-W452</f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ref="AA453" si="80">+W452-W453</f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ref="AA454" si="81">+W453-W454</f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ref="AA455" si="82">+W454-W455</f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ref="AA456" si="83">+W455-W456</f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ref="AA457" si="84">+W456-W457</f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ref="AA458" si="85">+W457-W458</f>
        <v>-13749</v>
      </c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" si="86">+W458-W459</f>
        <v>-29340</v>
      </c>
      <c r="AB459" s="6"/>
      <c r="AC459" s="258"/>
      <c r="AD459" s="251"/>
      <c r="AE459" s="61"/>
    </row>
    <row r="460" spans="15:31" x14ac:dyDescent="0.3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ref="AA460" si="87">+W459-W460</f>
        <v>-40571</v>
      </c>
      <c r="AB460" s="6"/>
      <c r="AC460" s="258"/>
      <c r="AD460" s="251"/>
      <c r="AE460" s="61"/>
    </row>
    <row r="461" spans="15:31" x14ac:dyDescent="0.3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ref="AA461" si="88">+W460-W461</f>
        <v>-28004</v>
      </c>
      <c r="AB461" s="6"/>
      <c r="AC461" s="258"/>
      <c r="AD461" s="251"/>
      <c r="AE461" s="61"/>
    </row>
    <row r="462" spans="15:31" x14ac:dyDescent="0.3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ref="AA462" si="89">+W461-W462</f>
        <v>-41811</v>
      </c>
      <c r="AB462" s="6"/>
      <c r="AC462" s="258"/>
      <c r="AD462" s="251"/>
      <c r="AE462" s="61"/>
    </row>
    <row r="463" spans="15:31" x14ac:dyDescent="0.3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ref="AA463" si="90">+W462-W463</f>
        <v>15502</v>
      </c>
      <c r="AB463" s="6"/>
      <c r="AC463" s="258"/>
      <c r="AD463" s="251"/>
      <c r="AE463" s="61"/>
    </row>
    <row r="464" spans="15:31" x14ac:dyDescent="0.3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ref="AA464" si="91">+W463-W464</f>
        <v>15014</v>
      </c>
      <c r="AB464" s="6"/>
      <c r="AC464" s="258"/>
      <c r="AD464" s="251"/>
      <c r="AE464" s="61"/>
    </row>
    <row r="465" spans="15:31" x14ac:dyDescent="0.3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ref="AA465" si="92">+W464-W465</f>
        <v>-42927</v>
      </c>
      <c r="AB465" s="6"/>
      <c r="AC465" s="258"/>
      <c r="AD465" s="251"/>
      <c r="AE465" s="61"/>
    </row>
    <row r="466" spans="15:31" x14ac:dyDescent="0.3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ref="AA466" si="93">+W465-W466</f>
        <v>-69499</v>
      </c>
      <c r="AB466" s="6"/>
      <c r="AC466" s="258"/>
      <c r="AD466" s="251"/>
      <c r="AE466" s="61"/>
    </row>
    <row r="467" spans="15:31" x14ac:dyDescent="0.3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ref="AA467" si="94">+W466-W467</f>
        <v>-50957</v>
      </c>
      <c r="AB467" s="6"/>
      <c r="AC467" s="258"/>
      <c r="AD467" s="251"/>
      <c r="AE467" s="61"/>
    </row>
    <row r="468" spans="15:31" x14ac:dyDescent="0.3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ref="AA468" si="95">+W467-W468</f>
        <v>-36411</v>
      </c>
      <c r="AB468" s="6"/>
      <c r="AC468" s="258"/>
      <c r="AD468" s="251"/>
      <c r="AE468" s="61"/>
    </row>
    <row r="469" spans="15:31" x14ac:dyDescent="0.3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ref="AA469" si="96">+W468-W469</f>
        <v>-46193</v>
      </c>
      <c r="AB469" s="6"/>
      <c r="AC469" s="258"/>
      <c r="AD469" s="251"/>
      <c r="AE469" s="61"/>
    </row>
    <row r="470" spans="15:31" x14ac:dyDescent="0.3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ref="AA470" si="97">+W469-W470</f>
        <v>29129</v>
      </c>
      <c r="AB470" s="6"/>
      <c r="AC470" s="258"/>
      <c r="AD470" s="251"/>
      <c r="AE470" s="61"/>
    </row>
    <row r="471" spans="15:31" x14ac:dyDescent="0.3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ref="AA471" si="98">+W470-W471</f>
        <v>27404</v>
      </c>
      <c r="AB471" s="6"/>
      <c r="AC471" s="258"/>
      <c r="AD471" s="251"/>
      <c r="AE471" s="61"/>
    </row>
    <row r="472" spans="15:31" x14ac:dyDescent="0.3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ref="AA472" si="99">+W471-W472</f>
        <v>-80996</v>
      </c>
      <c r="AB472" s="6"/>
      <c r="AC472" s="258"/>
      <c r="AD472" s="251"/>
      <c r="AE472" s="61"/>
    </row>
    <row r="473" spans="15:31" x14ac:dyDescent="0.3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ref="AA473" si="100">+W472-W473</f>
        <v>-45100</v>
      </c>
      <c r="AB473" s="6"/>
      <c r="AC473" s="258"/>
      <c r="AD473" s="251"/>
      <c r="AE473" s="61"/>
    </row>
    <row r="474" spans="15:31" x14ac:dyDescent="0.3">
      <c r="O474" s="98"/>
      <c r="T474" s="250"/>
      <c r="U474" s="252">
        <f t="shared" ref="U474:U511" si="101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ref="AA474" si="102">+W473-W474</f>
        <v>-40432</v>
      </c>
      <c r="AB474" s="6"/>
      <c r="AC474" s="258"/>
      <c r="AD474" s="251"/>
      <c r="AE474" s="61"/>
    </row>
    <row r="475" spans="15:31" x14ac:dyDescent="0.3">
      <c r="O475" s="98"/>
      <c r="T475" s="250"/>
      <c r="U475" s="252">
        <f t="shared" si="101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ref="AA475" si="103">+W474-W475</f>
        <v>-31574</v>
      </c>
      <c r="AB475" s="6"/>
      <c r="AC475" s="258"/>
      <c r="AD475" s="251"/>
      <c r="AE475" s="61"/>
    </row>
    <row r="476" spans="15:31" x14ac:dyDescent="0.3">
      <c r="O476" s="98"/>
      <c r="T476" s="250"/>
      <c r="U476" s="252">
        <f t="shared" si="101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ref="AA476" si="104">+W475-W476</f>
        <v>-34537</v>
      </c>
      <c r="AB476" s="6"/>
      <c r="AC476" s="258"/>
      <c r="AD476" s="251"/>
      <c r="AE476" s="61"/>
    </row>
    <row r="477" spans="15:31" x14ac:dyDescent="0.3">
      <c r="O477" s="98"/>
      <c r="T477" s="250"/>
      <c r="U477" s="252">
        <f t="shared" si="101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ref="AA477" si="105">+W476-W477</f>
        <v>56998</v>
      </c>
      <c r="AB477" s="6"/>
      <c r="AC477" s="258"/>
      <c r="AD477" s="251"/>
      <c r="AE477" s="61"/>
    </row>
    <row r="478" spans="15:31" x14ac:dyDescent="0.3">
      <c r="O478" s="98"/>
      <c r="T478" s="250"/>
      <c r="U478" s="573">
        <f t="shared" si="101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ref="AA478" si="106">+W477-W478</f>
        <v>38084</v>
      </c>
      <c r="AB478" s="6"/>
      <c r="AC478" s="258"/>
      <c r="AD478" s="251"/>
      <c r="AE478" s="61"/>
    </row>
    <row r="479" spans="15:31" x14ac:dyDescent="0.3">
      <c r="O479" s="98"/>
      <c r="T479" s="250"/>
      <c r="U479" s="252">
        <f t="shared" si="101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ref="AA479" si="107">+W478-W479</f>
        <v>-79728</v>
      </c>
      <c r="AB479" s="6"/>
      <c r="AC479" s="258"/>
      <c r="AD479" s="251"/>
      <c r="AE479" s="61"/>
    </row>
    <row r="480" spans="15:31" x14ac:dyDescent="0.3">
      <c r="O480" s="98"/>
      <c r="T480" s="250"/>
      <c r="U480" s="252">
        <f t="shared" si="101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ref="AA480" si="108">+W479-W480</f>
        <v>-42316</v>
      </c>
      <c r="AB480" s="6"/>
      <c r="AC480" s="258"/>
      <c r="AD480" s="251"/>
      <c r="AE480" s="61"/>
    </row>
    <row r="481" spans="15:31" x14ac:dyDescent="0.3">
      <c r="O481" s="98"/>
      <c r="T481" s="250"/>
      <c r="U481" s="252">
        <f t="shared" si="101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ref="AA481" si="109">+W480-W481</f>
        <v>-57145</v>
      </c>
      <c r="AB481" s="6"/>
      <c r="AC481" s="258"/>
      <c r="AD481" s="251"/>
      <c r="AE481" s="61"/>
    </row>
    <row r="482" spans="15:31" x14ac:dyDescent="0.3">
      <c r="O482" s="98"/>
      <c r="T482" s="250"/>
      <c r="U482" s="252">
        <f t="shared" si="101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ref="AA482" si="110">+W481-W482</f>
        <v>-10479</v>
      </c>
      <c r="AB482" s="6"/>
      <c r="AC482" s="258"/>
      <c r="AD482" s="251"/>
      <c r="AE482" s="61"/>
    </row>
    <row r="483" spans="15:31" x14ac:dyDescent="0.3">
      <c r="O483" s="98"/>
      <c r="T483" s="250"/>
      <c r="U483" s="252">
        <f t="shared" si="101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ref="AA483" si="111">+W482-W483</f>
        <v>-7809</v>
      </c>
      <c r="AB483" s="6"/>
      <c r="AC483" s="258"/>
      <c r="AD483" s="251"/>
      <c r="AE483" s="61"/>
    </row>
    <row r="484" spans="15:31" x14ac:dyDescent="0.3">
      <c r="O484" s="98"/>
      <c r="T484" s="250"/>
      <c r="U484" s="252">
        <f t="shared" si="101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ref="AA484" si="112">+W483-W484</f>
        <v>8458</v>
      </c>
      <c r="AB484" s="6"/>
      <c r="AC484" s="258"/>
      <c r="AD484" s="251"/>
      <c r="AE484" s="61"/>
    </row>
    <row r="485" spans="15:31" x14ac:dyDescent="0.3">
      <c r="O485" s="98"/>
      <c r="T485" s="250"/>
      <c r="U485" s="573">
        <f t="shared" si="101"/>
        <v>44430</v>
      </c>
      <c r="V485" s="6"/>
      <c r="W485" s="253">
        <v>1010611</v>
      </c>
      <c r="X485" s="6"/>
      <c r="Y485" s="44">
        <v>3.0000000000000001E-3</v>
      </c>
      <c r="Z485" s="6"/>
      <c r="AA485" s="254">
        <f t="shared" ref="AA485" si="113">+W484-W485</f>
        <v>-28042</v>
      </c>
      <c r="AB485" s="6"/>
      <c r="AC485" s="258"/>
      <c r="AD485" s="251"/>
      <c r="AE485" s="61"/>
    </row>
    <row r="486" spans="15:31" x14ac:dyDescent="0.3">
      <c r="O486" s="98"/>
      <c r="T486" s="250"/>
      <c r="U486" s="252">
        <f t="shared" si="101"/>
        <v>44431</v>
      </c>
      <c r="V486" s="6"/>
      <c r="W486" s="253">
        <v>1091203</v>
      </c>
      <c r="X486" s="6"/>
      <c r="Y486" s="44">
        <v>3.0000000000000001E-3</v>
      </c>
      <c r="Z486" s="6"/>
      <c r="AA486" s="254">
        <f t="shared" ref="AA486" si="114">+W485-W486</f>
        <v>-80592</v>
      </c>
      <c r="AB486" s="6"/>
      <c r="AC486" s="258"/>
      <c r="AD486" s="251"/>
      <c r="AE486" s="61"/>
    </row>
    <row r="487" spans="15:31" x14ac:dyDescent="0.3">
      <c r="O487" s="98"/>
      <c r="T487" s="250"/>
      <c r="U487" s="252">
        <f t="shared" si="101"/>
        <v>44432</v>
      </c>
      <c r="V487" s="6"/>
      <c r="W487" s="253">
        <v>1135866</v>
      </c>
      <c r="X487" s="6"/>
      <c r="Y487" s="44">
        <v>3.0000000000000001E-3</v>
      </c>
      <c r="Z487" s="6"/>
      <c r="AA487" s="254">
        <f t="shared" ref="AA487" si="115">+W486-W487</f>
        <v>-44663</v>
      </c>
      <c r="AB487" s="6"/>
      <c r="AC487" s="258"/>
      <c r="AD487" s="251"/>
      <c r="AE487" s="61"/>
    </row>
    <row r="488" spans="15:31" x14ac:dyDescent="0.3">
      <c r="O488" s="98"/>
      <c r="T488" s="250"/>
      <c r="U488" s="252">
        <f t="shared" si="101"/>
        <v>44433</v>
      </c>
      <c r="V488" s="6"/>
      <c r="W488" s="253">
        <v>1163572</v>
      </c>
      <c r="X488" s="6"/>
      <c r="Y488" s="44">
        <v>3.0000000000000001E-3</v>
      </c>
      <c r="Z488" s="6"/>
      <c r="AA488" s="254">
        <f t="shared" ref="AA488" si="116">+W487-W488</f>
        <v>-27706</v>
      </c>
      <c r="AB488" s="6"/>
      <c r="AC488" s="258"/>
      <c r="AD488" s="251"/>
      <c r="AE488" s="61"/>
    </row>
    <row r="489" spans="15:31" x14ac:dyDescent="0.3">
      <c r="O489" s="98"/>
      <c r="T489" s="250"/>
      <c r="U489" s="252">
        <f t="shared" si="101"/>
        <v>44434</v>
      </c>
      <c r="V489" s="6"/>
      <c r="W489" s="253">
        <v>1182651</v>
      </c>
      <c r="X489" s="6"/>
      <c r="Y489" s="44">
        <v>3.0000000000000001E-3</v>
      </c>
      <c r="Z489" s="6"/>
      <c r="AA489" s="254">
        <f t="shared" ref="AA489" si="117">+W488-W489</f>
        <v>-19079</v>
      </c>
      <c r="AB489" s="6"/>
      <c r="AC489" s="258"/>
      <c r="AD489" s="251"/>
      <c r="AE489" s="61"/>
    </row>
    <row r="490" spans="15:31" x14ac:dyDescent="0.3">
      <c r="O490" s="98"/>
      <c r="T490" s="250"/>
      <c r="U490" s="252">
        <f t="shared" si="101"/>
        <v>44435</v>
      </c>
      <c r="V490" s="6"/>
      <c r="W490" s="253">
        <v>1220266</v>
      </c>
      <c r="X490" s="6"/>
      <c r="Y490" s="44">
        <v>3.0000000000000001E-3</v>
      </c>
      <c r="Z490" s="6"/>
      <c r="AA490" s="254">
        <f t="shared" ref="AA490" si="118">+W489-W490</f>
        <v>-37615</v>
      </c>
      <c r="AB490" s="6"/>
      <c r="AC490" s="258"/>
      <c r="AD490" s="251"/>
      <c r="AE490" s="61"/>
    </row>
    <row r="491" spans="15:31" x14ac:dyDescent="0.3">
      <c r="O491" s="98"/>
      <c r="T491" s="250"/>
      <c r="U491" s="252">
        <f t="shared" si="101"/>
        <v>44436</v>
      </c>
      <c r="V491" s="6"/>
      <c r="W491" s="253">
        <v>1141943</v>
      </c>
      <c r="X491" s="6"/>
      <c r="Y491" s="44">
        <v>3.0000000000000001E-3</v>
      </c>
      <c r="Z491" s="6"/>
      <c r="AA491" s="254">
        <f t="shared" ref="AA491" si="119">+W490-W491</f>
        <v>78323</v>
      </c>
      <c r="AB491" s="6"/>
      <c r="AC491" s="258"/>
      <c r="AD491" s="251"/>
      <c r="AE491" s="61"/>
    </row>
    <row r="492" spans="15:31" x14ac:dyDescent="0.3">
      <c r="O492" s="98"/>
      <c r="T492" s="250"/>
      <c r="U492" s="573">
        <f t="shared" si="101"/>
        <v>44437</v>
      </c>
      <c r="V492" s="6"/>
      <c r="W492" s="253">
        <v>1032748</v>
      </c>
      <c r="X492" s="6"/>
      <c r="Y492" s="44">
        <v>3.0000000000000001E-3</v>
      </c>
      <c r="Z492" s="6"/>
      <c r="AA492" s="254">
        <f t="shared" ref="AA492" si="120">+W491-W492</f>
        <v>109195</v>
      </c>
      <c r="AB492" s="6"/>
      <c r="AC492" s="258"/>
      <c r="AD492" s="251"/>
      <c r="AE492" s="61"/>
    </row>
    <row r="493" spans="15:31" x14ac:dyDescent="0.3">
      <c r="O493" s="98"/>
      <c r="T493" s="250"/>
      <c r="U493" s="252">
        <f t="shared" si="101"/>
        <v>44438</v>
      </c>
      <c r="V493" s="6"/>
      <c r="W493" s="253">
        <v>1053270</v>
      </c>
      <c r="X493" s="6"/>
      <c r="Y493" s="44">
        <v>3.0000000000000001E-3</v>
      </c>
      <c r="Z493" s="6"/>
      <c r="AA493" s="254">
        <f t="shared" ref="AA493" si="121">+W492-W493</f>
        <v>-20522</v>
      </c>
      <c r="AB493" s="6"/>
      <c r="AC493" s="258"/>
      <c r="AD493" s="251"/>
      <c r="AE493" s="61"/>
    </row>
    <row r="494" spans="15:31" x14ac:dyDescent="0.3">
      <c r="O494" s="98"/>
      <c r="T494" s="250"/>
      <c r="U494" s="252">
        <f t="shared" si="101"/>
        <v>44439</v>
      </c>
      <c r="V494" s="6"/>
      <c r="W494" s="253">
        <v>1100973</v>
      </c>
      <c r="X494" s="6"/>
      <c r="Y494" s="44">
        <v>3.0000000000000001E-3</v>
      </c>
      <c r="Z494" s="6"/>
      <c r="AA494" s="254">
        <f t="shared" ref="AA494" si="122">+W493-W494</f>
        <v>-47703</v>
      </c>
      <c r="AB494" s="6"/>
      <c r="AC494" s="258"/>
      <c r="AD494" s="251"/>
      <c r="AE494" s="61"/>
    </row>
    <row r="495" spans="15:31" x14ac:dyDescent="0.3">
      <c r="O495" s="98"/>
      <c r="T495" s="250"/>
      <c r="U495" s="252">
        <f t="shared" si="101"/>
        <v>44440</v>
      </c>
      <c r="V495" s="6"/>
      <c r="W495" s="253">
        <v>1137686</v>
      </c>
      <c r="X495" s="6"/>
      <c r="Y495" s="44">
        <v>3.0000000000000001E-3</v>
      </c>
      <c r="Z495" s="6"/>
      <c r="AA495" s="254">
        <f t="shared" ref="AA495" si="123">+W494-W495</f>
        <v>-36713</v>
      </c>
      <c r="AB495" s="6"/>
      <c r="AC495" s="258"/>
      <c r="AD495" s="251"/>
      <c r="AE495" s="61"/>
    </row>
    <row r="496" spans="15:31" x14ac:dyDescent="0.3">
      <c r="O496" s="98"/>
      <c r="T496" s="250"/>
      <c r="U496" s="252">
        <f t="shared" si="101"/>
        <v>44441</v>
      </c>
      <c r="V496" s="6"/>
      <c r="W496" s="253">
        <v>1143565</v>
      </c>
      <c r="X496" s="6"/>
      <c r="Y496" s="44">
        <v>3.0000000000000001E-3</v>
      </c>
      <c r="Z496" s="6"/>
      <c r="AA496" s="254">
        <f t="shared" ref="AA496" si="124">+W495-W496</f>
        <v>-5879</v>
      </c>
      <c r="AB496" s="6"/>
      <c r="AC496" s="258"/>
      <c r="AD496" s="251"/>
      <c r="AE496" s="61"/>
    </row>
    <row r="497" spans="15:31" x14ac:dyDescent="0.3">
      <c r="O497" s="98"/>
      <c r="T497" s="250"/>
      <c r="U497" s="252">
        <f t="shared" si="101"/>
        <v>44442</v>
      </c>
      <c r="V497" s="6"/>
      <c r="W497" s="253">
        <v>1149058</v>
      </c>
      <c r="X497" s="6"/>
      <c r="Y497" s="44">
        <v>3.0000000000000001E-3</v>
      </c>
      <c r="Z497" s="6"/>
      <c r="AA497" s="254">
        <f t="shared" ref="AA497" si="125">+W496-W497</f>
        <v>-5493</v>
      </c>
      <c r="AB497" s="6"/>
      <c r="AC497" s="258"/>
      <c r="AD497" s="251"/>
      <c r="AE497" s="61"/>
    </row>
    <row r="498" spans="15:31" x14ac:dyDescent="0.3">
      <c r="O498" s="98"/>
      <c r="T498" s="250"/>
      <c r="U498" s="252">
        <f t="shared" si="101"/>
        <v>44443</v>
      </c>
      <c r="V498" s="6"/>
      <c r="W498" s="253">
        <v>1017444</v>
      </c>
      <c r="X498" s="6"/>
      <c r="Y498" s="44">
        <v>3.0000000000000001E-3</v>
      </c>
      <c r="Z498" s="6"/>
      <c r="AA498" s="254">
        <f t="shared" ref="AA498" si="126">+W497-W498</f>
        <v>131614</v>
      </c>
      <c r="AB498" s="6"/>
      <c r="AC498" s="258"/>
      <c r="AD498" s="251"/>
      <c r="AE498" s="61"/>
    </row>
    <row r="499" spans="15:31" x14ac:dyDescent="0.3">
      <c r="O499" s="98"/>
      <c r="T499" s="250"/>
      <c r="U499" s="573">
        <f t="shared" si="101"/>
        <v>44444</v>
      </c>
      <c r="V499" s="6"/>
      <c r="W499" s="253">
        <v>944663</v>
      </c>
      <c r="X499" s="6"/>
      <c r="Y499" s="44">
        <v>3.0000000000000001E-3</v>
      </c>
      <c r="Z499" s="6"/>
      <c r="AA499" s="254">
        <f t="shared" ref="AA499" si="127">+W498-W499</f>
        <v>72781</v>
      </c>
      <c r="AB499" s="6"/>
      <c r="AC499" s="258"/>
      <c r="AD499" s="251"/>
      <c r="AE499" s="61"/>
    </row>
    <row r="500" spans="15:31" x14ac:dyDescent="0.3">
      <c r="O500" s="98"/>
      <c r="T500" s="250"/>
      <c r="U500" s="252">
        <f t="shared" si="101"/>
        <v>44445</v>
      </c>
      <c r="V500" s="6"/>
      <c r="W500" s="253">
        <v>982467</v>
      </c>
      <c r="X500" s="6"/>
      <c r="Y500" s="44">
        <v>3.0000000000000001E-3</v>
      </c>
      <c r="Z500" s="6"/>
      <c r="AA500" s="254">
        <f t="shared" ref="AA500" si="128">+W499-W500</f>
        <v>-37804</v>
      </c>
      <c r="AB500" s="6"/>
      <c r="AC500" s="258"/>
      <c r="AD500" s="251"/>
      <c r="AE500" s="61"/>
    </row>
    <row r="501" spans="15:31" x14ac:dyDescent="0.3">
      <c r="O501" s="98"/>
      <c r="T501" s="250"/>
      <c r="U501" s="252">
        <f t="shared" si="101"/>
        <v>44446</v>
      </c>
      <c r="V501" s="6"/>
      <c r="W501" s="253">
        <v>978397</v>
      </c>
      <c r="X501" s="6"/>
      <c r="Y501" s="44">
        <v>3.0000000000000001E-3</v>
      </c>
      <c r="Z501" s="6"/>
      <c r="AA501" s="254">
        <f t="shared" ref="AA501" si="129">+W500-W501</f>
        <v>4070</v>
      </c>
      <c r="AB501" s="6"/>
      <c r="AC501" s="258"/>
      <c r="AD501" s="251"/>
      <c r="AE501" s="61"/>
    </row>
    <row r="502" spans="15:31" x14ac:dyDescent="0.3">
      <c r="O502" s="98"/>
      <c r="T502" s="250"/>
      <c r="U502" s="252">
        <f t="shared" si="101"/>
        <v>44447</v>
      </c>
      <c r="V502" s="6"/>
      <c r="W502" s="253">
        <v>977839</v>
      </c>
      <c r="X502" s="6"/>
      <c r="Y502" s="44">
        <v>3.0000000000000001E-3</v>
      </c>
      <c r="Z502" s="6"/>
      <c r="AA502" s="254">
        <f t="shared" ref="AA502" si="130">+W501-W502</f>
        <v>558</v>
      </c>
      <c r="AB502" s="6"/>
      <c r="AC502" s="258"/>
      <c r="AD502" s="251"/>
      <c r="AE502" s="61"/>
    </row>
    <row r="503" spans="15:31" x14ac:dyDescent="0.3">
      <c r="O503" s="98"/>
      <c r="T503" s="250"/>
      <c r="U503" s="252">
        <f t="shared" si="101"/>
        <v>44448</v>
      </c>
      <c r="V503" s="6"/>
      <c r="W503" s="253">
        <v>954134</v>
      </c>
      <c r="X503" s="6"/>
      <c r="Y503" s="44">
        <v>3.0000000000000001E-3</v>
      </c>
      <c r="Z503" s="6"/>
      <c r="AA503" s="254">
        <f t="shared" ref="AA503" si="131">+W502-W503</f>
        <v>23705</v>
      </c>
      <c r="AB503" s="6"/>
      <c r="AC503" s="258"/>
      <c r="AD503" s="251"/>
      <c r="AE503" s="61"/>
    </row>
    <row r="504" spans="15:31" x14ac:dyDescent="0.3">
      <c r="O504" s="98"/>
      <c r="T504" s="250"/>
      <c r="U504" s="252">
        <f t="shared" si="101"/>
        <v>44449</v>
      </c>
      <c r="V504" s="6"/>
      <c r="W504" s="253">
        <v>947662</v>
      </c>
      <c r="X504" s="6"/>
      <c r="Y504" s="44">
        <v>3.0000000000000001E-3</v>
      </c>
      <c r="Z504" s="6"/>
      <c r="AA504" s="254">
        <f t="shared" ref="AA504" si="132">+W503-W504</f>
        <v>6472</v>
      </c>
      <c r="AB504" s="6"/>
      <c r="AC504" s="258"/>
      <c r="AD504" s="251"/>
      <c r="AE504" s="61"/>
    </row>
    <row r="505" spans="15:31" x14ac:dyDescent="0.3">
      <c r="O505" s="98"/>
      <c r="T505" s="250"/>
      <c r="U505" s="252">
        <f t="shared" si="101"/>
        <v>44450</v>
      </c>
      <c r="V505" s="6"/>
      <c r="W505" s="253">
        <v>837198</v>
      </c>
      <c r="X505" s="6"/>
      <c r="Y505" s="44">
        <v>3.0000000000000001E-3</v>
      </c>
      <c r="Z505" s="6"/>
      <c r="AA505" s="254">
        <f t="shared" ref="AA505" si="133">+W504-W505</f>
        <v>110464</v>
      </c>
      <c r="AB505" s="6"/>
      <c r="AC505" s="258"/>
      <c r="AD505" s="251"/>
      <c r="AE505" s="61"/>
    </row>
    <row r="506" spans="15:31" x14ac:dyDescent="0.3">
      <c r="O506" s="98"/>
      <c r="T506" s="250"/>
      <c r="U506" s="573">
        <f t="shared" si="101"/>
        <v>44451</v>
      </c>
      <c r="V506" s="6"/>
      <c r="W506" s="253">
        <f>+I$36</f>
        <v>813888</v>
      </c>
      <c r="X506" s="6"/>
      <c r="Y506" s="44">
        <v>3.0000000000000001E-3</v>
      </c>
      <c r="Z506" s="6"/>
      <c r="AA506" s="254">
        <f t="shared" ref="AA506" si="134">+W505-W506</f>
        <v>23310</v>
      </c>
      <c r="AB506" s="6"/>
      <c r="AC506" s="258"/>
      <c r="AD506" s="251"/>
      <c r="AE506" s="61"/>
    </row>
    <row r="507" spans="15:31" x14ac:dyDescent="0.3">
      <c r="O507" s="98"/>
      <c r="T507" s="250"/>
      <c r="U507" s="252">
        <f t="shared" si="101"/>
        <v>44452</v>
      </c>
      <c r="V507" s="6"/>
      <c r="W507" s="253"/>
      <c r="X507" s="6"/>
      <c r="Y507" s="44"/>
      <c r="Z507" s="6"/>
      <c r="AA507" s="254"/>
      <c r="AB507" s="6"/>
      <c r="AC507" s="258"/>
      <c r="AD507" s="251"/>
      <c r="AE507" s="61"/>
    </row>
    <row r="508" spans="15:31" x14ac:dyDescent="0.3">
      <c r="O508" s="98"/>
      <c r="T508" s="250"/>
      <c r="U508" s="252">
        <f t="shared" si="101"/>
        <v>44453</v>
      </c>
      <c r="V508" s="6"/>
      <c r="W508" s="253"/>
      <c r="X508" s="6"/>
      <c r="Y508" s="44"/>
      <c r="Z508" s="6"/>
      <c r="AA508" s="254"/>
      <c r="AB508" s="6"/>
      <c r="AC508" s="258"/>
      <c r="AD508" s="251"/>
      <c r="AE508" s="61"/>
    </row>
    <row r="509" spans="15:31" x14ac:dyDescent="0.3">
      <c r="O509" s="98"/>
      <c r="T509" s="250"/>
      <c r="U509" s="252">
        <f t="shared" si="101"/>
        <v>44454</v>
      </c>
      <c r="V509" s="6"/>
      <c r="W509" s="253"/>
      <c r="X509" s="6"/>
      <c r="Y509" s="44"/>
      <c r="Z509" s="6"/>
      <c r="AA509" s="254"/>
      <c r="AB509" s="6"/>
      <c r="AC509" s="258"/>
      <c r="AD509" s="251"/>
      <c r="AE509" s="61"/>
    </row>
    <row r="510" spans="15:31" x14ac:dyDescent="0.3">
      <c r="O510" s="98"/>
      <c r="T510" s="250"/>
      <c r="U510" s="252">
        <f t="shared" si="101"/>
        <v>44455</v>
      </c>
      <c r="V510" s="6"/>
      <c r="W510" s="253"/>
      <c r="X510" s="6"/>
      <c r="Y510" s="44"/>
      <c r="Z510" s="6"/>
      <c r="AA510" s="254"/>
      <c r="AB510" s="6"/>
      <c r="AC510" s="258"/>
      <c r="AD510" s="251"/>
    </row>
    <row r="511" spans="15:31" ht="15" thickBot="1" x14ac:dyDescent="0.35">
      <c r="O511" s="98"/>
      <c r="T511" s="255"/>
      <c r="U511" s="350">
        <f t="shared" si="101"/>
        <v>44456</v>
      </c>
      <c r="V511" s="247"/>
      <c r="W511" s="351"/>
      <c r="X511" s="247"/>
      <c r="Y511" s="256"/>
      <c r="Z511" s="247"/>
      <c r="AA511" s="352"/>
      <c r="AB511" s="247"/>
      <c r="AC511" s="353"/>
      <c r="AD511" s="257"/>
    </row>
    <row r="512" spans="15:31" x14ac:dyDescent="0.3">
      <c r="O512" s="98"/>
    </row>
    <row r="513" spans="4:36" x14ac:dyDescent="0.3">
      <c r="O513" s="98"/>
      <c r="P513" s="57"/>
      <c r="Q513" s="57"/>
      <c r="R513" s="57"/>
    </row>
    <row r="514" spans="4:36" x14ac:dyDescent="0.3">
      <c r="O514" s="98"/>
    </row>
    <row r="515" spans="4:36" ht="15" thickBot="1" x14ac:dyDescent="0.35">
      <c r="O515" s="98"/>
    </row>
    <row r="516" spans="4:36" ht="15.6" thickTop="1" thickBot="1" x14ac:dyDescent="0.35">
      <c r="Q516" s="441"/>
      <c r="R516" s="442"/>
      <c r="S516" s="442"/>
      <c r="T516" s="442"/>
      <c r="U516" s="442"/>
      <c r="V516" s="442"/>
      <c r="W516" s="442"/>
      <c r="X516" s="442"/>
      <c r="Y516" s="442"/>
      <c r="Z516" s="442"/>
      <c r="AA516" s="442"/>
      <c r="AB516" s="443"/>
    </row>
    <row r="517" spans="4:36" ht="15" thickBot="1" x14ac:dyDescent="0.35">
      <c r="E517" s="705" t="s">
        <v>106</v>
      </c>
      <c r="F517" s="706"/>
      <c r="G517" s="706"/>
      <c r="H517" s="706"/>
      <c r="I517" s="706"/>
      <c r="J517" s="706"/>
      <c r="K517" s="706"/>
      <c r="L517" s="706"/>
      <c r="M517" s="707"/>
      <c r="Q517" s="444"/>
      <c r="R517" s="6"/>
      <c r="S517" s="6"/>
      <c r="T517" s="6"/>
      <c r="U517" s="5" t="s">
        <v>132</v>
      </c>
      <c r="V517" s="5"/>
      <c r="W517" s="5"/>
      <c r="X517" s="5"/>
      <c r="Y517" s="5"/>
      <c r="Z517" s="5"/>
      <c r="AA517" s="5" t="s">
        <v>28</v>
      </c>
      <c r="AB517" s="445"/>
    </row>
    <row r="518" spans="4:36" x14ac:dyDescent="0.3">
      <c r="E518" s="395"/>
      <c r="F518" s="396" t="s">
        <v>107</v>
      </c>
      <c r="G518" s="396"/>
      <c r="H518" s="396"/>
      <c r="I518" s="708">
        <v>21477737</v>
      </c>
      <c r="J518" s="708"/>
      <c r="K518" s="708"/>
      <c r="L518" s="708"/>
      <c r="M518" s="397"/>
      <c r="Q518" s="444"/>
      <c r="R518" s="437" t="s">
        <v>134</v>
      </c>
      <c r="S518" s="6"/>
      <c r="T518" s="6"/>
      <c r="U518" s="437" t="s">
        <v>133</v>
      </c>
      <c r="V518" s="5"/>
      <c r="W518" s="437" t="s">
        <v>20</v>
      </c>
      <c r="X518" s="5"/>
      <c r="Y518" s="437" t="s">
        <v>4</v>
      </c>
      <c r="Z518" s="5"/>
      <c r="AA518" s="446" t="s">
        <v>131</v>
      </c>
      <c r="AB518" s="445"/>
    </row>
    <row r="519" spans="4:36" x14ac:dyDescent="0.3">
      <c r="E519" s="395"/>
      <c r="F519" s="396" t="s">
        <v>97</v>
      </c>
      <c r="G519" s="396"/>
      <c r="H519" s="396"/>
      <c r="I519" s="396"/>
      <c r="J519" s="396"/>
      <c r="K519" s="396"/>
      <c r="L519" s="398">
        <f>+I531/I518</f>
        <v>4.5847474526762295E-4</v>
      </c>
      <c r="M519" s="397"/>
      <c r="Q519" s="444"/>
      <c r="R519" s="6" t="s">
        <v>121</v>
      </c>
      <c r="S519" s="6"/>
      <c r="T519" s="6"/>
      <c r="U519" s="7">
        <v>2003</v>
      </c>
      <c r="V519" s="6"/>
      <c r="W519" s="7">
        <v>389666</v>
      </c>
      <c r="X519" s="6"/>
      <c r="Y519" s="7">
        <v>31257</v>
      </c>
      <c r="Z519" s="6"/>
      <c r="AA519" s="253">
        <f>+AJ519</f>
        <v>19500</v>
      </c>
      <c r="AB519" s="445"/>
      <c r="AJ519" s="1">
        <v>19500</v>
      </c>
    </row>
    <row r="520" spans="4:36" x14ac:dyDescent="0.3">
      <c r="E520" s="395"/>
      <c r="F520" s="709" t="s">
        <v>95</v>
      </c>
      <c r="G520" s="709"/>
      <c r="H520" s="396"/>
      <c r="I520" s="396"/>
      <c r="J520" s="396"/>
      <c r="K520" s="396"/>
      <c r="L520" s="399">
        <f>+I531/(I518/100000)</f>
        <v>45.847474526762298</v>
      </c>
      <c r="M520" s="397"/>
      <c r="Q520" s="444"/>
      <c r="R520" s="6" t="s">
        <v>122</v>
      </c>
      <c r="S520" s="6"/>
      <c r="T520" s="6"/>
      <c r="U520" s="7">
        <v>1913</v>
      </c>
      <c r="V520" s="6"/>
      <c r="W520" s="7">
        <v>169892</v>
      </c>
      <c r="X520" s="6"/>
      <c r="Y520" s="7">
        <v>13076</v>
      </c>
      <c r="Z520" s="6"/>
      <c r="AA520" s="253">
        <f t="shared" ref="AA520:AA528" si="135">+AJ520</f>
        <v>8900</v>
      </c>
      <c r="AB520" s="445"/>
      <c r="AJ520" s="1">
        <v>8900</v>
      </c>
    </row>
    <row r="521" spans="4:36" x14ac:dyDescent="0.3">
      <c r="E521" s="395"/>
      <c r="F521" s="400"/>
      <c r="G521" s="400"/>
      <c r="H521" s="396"/>
      <c r="I521" s="396"/>
      <c r="J521" s="396"/>
      <c r="K521" s="396"/>
      <c r="L521" s="399"/>
      <c r="M521" s="397"/>
      <c r="Q521" s="444"/>
      <c r="R521" s="6" t="s">
        <v>123</v>
      </c>
      <c r="S521" s="6"/>
      <c r="T521" s="6"/>
      <c r="U521" s="7">
        <v>1568</v>
      </c>
      <c r="V521" s="6"/>
      <c r="W521" s="7">
        <v>16606</v>
      </c>
      <c r="X521" s="6"/>
      <c r="Y521" s="7">
        <v>912</v>
      </c>
      <c r="Z521" s="6"/>
      <c r="AA521" s="253">
        <f t="shared" si="135"/>
        <v>1100</v>
      </c>
      <c r="AB521" s="445"/>
      <c r="AJ521" s="1">
        <v>1100</v>
      </c>
    </row>
    <row r="522" spans="4:36" x14ac:dyDescent="0.3">
      <c r="E522" s="395"/>
      <c r="F522" s="400" t="s">
        <v>108</v>
      </c>
      <c r="G522" s="400"/>
      <c r="H522" s="709" t="s">
        <v>109</v>
      </c>
      <c r="I522" s="709"/>
      <c r="J522" s="396"/>
      <c r="K522" s="396"/>
      <c r="L522" s="399"/>
      <c r="M522" s="397"/>
      <c r="Q522" s="444"/>
      <c r="R522" s="6" t="s">
        <v>56</v>
      </c>
      <c r="S522" s="6"/>
      <c r="T522" s="6"/>
      <c r="U522" s="7">
        <v>1561</v>
      </c>
      <c r="V522" s="6"/>
      <c r="W522" s="7">
        <v>107611</v>
      </c>
      <c r="X522" s="6"/>
      <c r="Y522" s="7">
        <v>7937</v>
      </c>
      <c r="Z522" s="6"/>
      <c r="AA522" s="253">
        <f t="shared" si="135"/>
        <v>7000</v>
      </c>
      <c r="AB522" s="445"/>
      <c r="AJ522" s="1">
        <v>7000</v>
      </c>
    </row>
    <row r="523" spans="4:36" ht="15" thickBot="1" x14ac:dyDescent="0.35">
      <c r="E523" s="401"/>
      <c r="F523" s="402"/>
      <c r="G523" s="402"/>
      <c r="H523" s="402"/>
      <c r="I523" s="402"/>
      <c r="J523" s="402"/>
      <c r="K523" s="402"/>
      <c r="L523" s="402"/>
      <c r="M523" s="403"/>
      <c r="Q523" s="444"/>
      <c r="R523" s="6" t="s">
        <v>128</v>
      </c>
      <c r="S523" s="6"/>
      <c r="T523" s="6"/>
      <c r="U523" s="7">
        <v>1435</v>
      </c>
      <c r="V523" s="6"/>
      <c r="W523" s="7">
        <v>10128</v>
      </c>
      <c r="X523" s="6"/>
      <c r="Y523" s="7">
        <v>541</v>
      </c>
      <c r="Z523" s="6"/>
      <c r="AA523" s="253">
        <f t="shared" si="135"/>
        <v>700</v>
      </c>
      <c r="AB523" s="445"/>
      <c r="AJ523" s="1">
        <v>700</v>
      </c>
    </row>
    <row r="524" spans="4:36" x14ac:dyDescent="0.3">
      <c r="Q524" s="444"/>
      <c r="R524" s="6" t="s">
        <v>124</v>
      </c>
      <c r="S524" s="6"/>
      <c r="T524" s="6"/>
      <c r="U524" s="7">
        <v>1288</v>
      </c>
      <c r="V524" s="6"/>
      <c r="W524" s="7">
        <v>45913</v>
      </c>
      <c r="X524" s="6"/>
      <c r="Y524" s="7">
        <v>4287</v>
      </c>
      <c r="Z524" s="6"/>
      <c r="AA524" s="253">
        <f t="shared" si="135"/>
        <v>3600</v>
      </c>
      <c r="AB524" s="445"/>
      <c r="AJ524" s="1">
        <v>3600</v>
      </c>
    </row>
    <row r="525" spans="4:36" ht="15" thickBot="1" x14ac:dyDescent="0.35">
      <c r="D525" s="78"/>
      <c r="E525" s="139"/>
      <c r="F525" s="139"/>
      <c r="G525" s="139"/>
      <c r="H525" s="139"/>
      <c r="I525" s="310"/>
      <c r="J525" s="78"/>
      <c r="K525" s="98"/>
      <c r="L525" s="98"/>
      <c r="M525" s="98"/>
      <c r="N525" s="98"/>
      <c r="Q525" s="444"/>
      <c r="R525" s="6" t="s">
        <v>129</v>
      </c>
      <c r="S525" s="6"/>
      <c r="T525" s="6"/>
      <c r="U525" s="7">
        <v>1129</v>
      </c>
      <c r="V525" s="6"/>
      <c r="W525" s="7">
        <v>52477</v>
      </c>
      <c r="X525" s="6"/>
      <c r="Y525" s="7">
        <v>3152</v>
      </c>
      <c r="Z525" s="6"/>
      <c r="AA525" s="253">
        <f t="shared" si="135"/>
        <v>4600</v>
      </c>
      <c r="AB525" s="445"/>
      <c r="AJ525" s="1">
        <v>4600</v>
      </c>
    </row>
    <row r="526" spans="4:36" ht="16.2" thickBot="1" x14ac:dyDescent="0.35">
      <c r="D526" s="381"/>
      <c r="E526" s="710" t="s">
        <v>119</v>
      </c>
      <c r="F526" s="711"/>
      <c r="G526" s="711"/>
      <c r="H526" s="711"/>
      <c r="I526" s="711"/>
      <c r="J526" s="712"/>
      <c r="K526" s="382"/>
      <c r="L526" s="394" t="s">
        <v>10</v>
      </c>
      <c r="M526" s="383"/>
      <c r="N526" s="98"/>
      <c r="Q526" s="444"/>
      <c r="R526" s="6" t="s">
        <v>125</v>
      </c>
      <c r="S526" s="6"/>
      <c r="T526" s="6"/>
      <c r="U526" s="7">
        <v>1118</v>
      </c>
      <c r="V526" s="6"/>
      <c r="W526" s="7">
        <v>10889</v>
      </c>
      <c r="X526" s="6"/>
      <c r="Y526" s="7">
        <v>505</v>
      </c>
      <c r="Z526" s="6"/>
      <c r="AA526" s="253">
        <f t="shared" si="135"/>
        <v>980</v>
      </c>
      <c r="AB526" s="445"/>
      <c r="AJ526" s="1">
        <v>980</v>
      </c>
    </row>
    <row r="527" spans="4:36" x14ac:dyDescent="0.3">
      <c r="D527" s="360"/>
      <c r="E527" s="384" t="s">
        <v>75</v>
      </c>
      <c r="F527" s="16"/>
      <c r="G527" s="16"/>
      <c r="H527" s="16"/>
      <c r="I527" s="713">
        <f>+K81</f>
        <v>48675</v>
      </c>
      <c r="J527" s="713"/>
      <c r="K527" s="16"/>
      <c r="L527" s="60">
        <f>+I527/$I$527</f>
        <v>1</v>
      </c>
      <c r="M527" s="385"/>
      <c r="N527" s="98"/>
      <c r="Q527" s="444"/>
      <c r="R527" s="6" t="s">
        <v>126</v>
      </c>
      <c r="S527" s="6"/>
      <c r="T527" s="6"/>
      <c r="U527" s="7">
        <v>1093</v>
      </c>
      <c r="V527" s="6"/>
      <c r="W527" s="7">
        <v>138546</v>
      </c>
      <c r="X527" s="6"/>
      <c r="Y527" s="7">
        <v>6770</v>
      </c>
      <c r="Z527" s="6"/>
      <c r="AA527" s="253">
        <f t="shared" si="135"/>
        <v>12700</v>
      </c>
      <c r="AB527" s="445"/>
      <c r="AJ527" s="1">
        <v>12700</v>
      </c>
    </row>
    <row r="528" spans="4:36" x14ac:dyDescent="0.3">
      <c r="D528" s="360"/>
      <c r="E528" s="384"/>
      <c r="F528" s="16"/>
      <c r="G528" s="16"/>
      <c r="H528" s="16"/>
      <c r="I528" s="16"/>
      <c r="J528" s="16"/>
      <c r="K528" s="16"/>
      <c r="L528" s="16"/>
      <c r="M528" s="385"/>
      <c r="N528" s="98"/>
      <c r="Q528" s="444"/>
      <c r="R528" s="6" t="s">
        <v>127</v>
      </c>
      <c r="S528" s="6"/>
      <c r="T528" s="6"/>
      <c r="U528" s="447">
        <v>1081</v>
      </c>
      <c r="V528" s="6"/>
      <c r="W528" s="447">
        <v>65337</v>
      </c>
      <c r="X528" s="6"/>
      <c r="Y528" s="447">
        <v>3108</v>
      </c>
      <c r="Z528" s="6"/>
      <c r="AA528" s="448">
        <f t="shared" si="135"/>
        <v>6100</v>
      </c>
      <c r="AB528" s="445"/>
      <c r="AJ528" s="439">
        <v>6100</v>
      </c>
    </row>
    <row r="529" spans="4:36" x14ac:dyDescent="0.3">
      <c r="D529" s="372"/>
      <c r="E529" s="15"/>
      <c r="F529" s="386" t="s">
        <v>100</v>
      </c>
      <c r="G529" s="386"/>
      <c r="H529" s="15"/>
      <c r="I529" s="714">
        <f>+I81</f>
        <v>36684</v>
      </c>
      <c r="J529" s="715"/>
      <c r="K529" s="15"/>
      <c r="L529" s="60">
        <f>+I529/$I$527</f>
        <v>0.75365177195685673</v>
      </c>
      <c r="M529" s="365"/>
      <c r="N529" s="98"/>
      <c r="Q529" s="444"/>
      <c r="R529" s="5" t="s">
        <v>31</v>
      </c>
      <c r="S529" s="6"/>
      <c r="T529" s="6"/>
      <c r="U529" s="253">
        <f>+W529/(AA529/100)</f>
        <v>1545.0521632402579</v>
      </c>
      <c r="V529" s="6"/>
      <c r="W529" s="253">
        <f>SUM(W519:W528)</f>
        <v>1007065</v>
      </c>
      <c r="X529" s="6"/>
      <c r="Y529" s="253">
        <f>SUM(Y519:Y528)</f>
        <v>71545</v>
      </c>
      <c r="Z529" s="6"/>
      <c r="AA529" s="253">
        <f>SUM(AA519:AA528)</f>
        <v>65180</v>
      </c>
      <c r="AB529" s="445"/>
      <c r="AJ529" s="56">
        <f>SUM(AJ519:AJ528)</f>
        <v>65180</v>
      </c>
    </row>
    <row r="530" spans="4:36" x14ac:dyDescent="0.3">
      <c r="D530" s="372"/>
      <c r="E530" s="15"/>
      <c r="F530" s="15" t="s">
        <v>76</v>
      </c>
      <c r="G530" s="15"/>
      <c r="H530" s="15"/>
      <c r="I530" s="716">
        <f>+I75</f>
        <v>2144</v>
      </c>
      <c r="J530" s="717"/>
      <c r="K530" s="15"/>
      <c r="L530" s="60">
        <f>+I530/$I$527</f>
        <v>4.4047252182845401E-2</v>
      </c>
      <c r="M530" s="365"/>
      <c r="N530" s="98"/>
      <c r="Q530" s="444"/>
      <c r="R530" s="5"/>
      <c r="S530" s="6"/>
      <c r="T530" s="6"/>
      <c r="U530" s="6"/>
      <c r="V530" s="6"/>
      <c r="W530" s="253"/>
      <c r="X530" s="6"/>
      <c r="Y530" s="253"/>
      <c r="Z530" s="6"/>
      <c r="AA530" s="6"/>
      <c r="AB530" s="445"/>
      <c r="AJ530" s="56"/>
    </row>
    <row r="531" spans="4:36" ht="15" thickBot="1" x14ac:dyDescent="0.35">
      <c r="D531" s="372"/>
      <c r="E531" s="702" t="s">
        <v>101</v>
      </c>
      <c r="F531" s="702"/>
      <c r="G531" s="702"/>
      <c r="H531" s="15"/>
      <c r="I531" s="703">
        <f>+I527-I529-I530</f>
        <v>9847</v>
      </c>
      <c r="J531" s="704"/>
      <c r="K531" s="387"/>
      <c r="L531" s="388">
        <f>+I531/$I$527</f>
        <v>0.20230097586029788</v>
      </c>
      <c r="M531" s="365"/>
      <c r="N531" s="98"/>
      <c r="Q531" s="444"/>
      <c r="R531" s="5" t="s">
        <v>57</v>
      </c>
      <c r="S531" s="6"/>
      <c r="T531" s="6"/>
      <c r="U531" s="7">
        <v>7441</v>
      </c>
      <c r="V531" s="6"/>
      <c r="W531" s="7">
        <f>+'Main Table'!H106</f>
        <v>3029734</v>
      </c>
      <c r="X531" s="6"/>
      <c r="Y531" s="7">
        <f>+'Main Table'!AA106</f>
        <v>129682</v>
      </c>
      <c r="Z531" s="6"/>
      <c r="AA531" s="253">
        <f>+AJ531</f>
        <v>333000</v>
      </c>
      <c r="AB531" s="445"/>
      <c r="AJ531" s="56">
        <v>333000</v>
      </c>
    </row>
    <row r="532" spans="4:36" ht="15.6" thickTop="1" thickBot="1" x14ac:dyDescent="0.35">
      <c r="D532" s="372"/>
      <c r="E532" s="389"/>
      <c r="F532" s="389"/>
      <c r="G532" s="389"/>
      <c r="H532" s="15"/>
      <c r="I532" s="390"/>
      <c r="J532" s="389"/>
      <c r="K532" s="387"/>
      <c r="L532" s="391"/>
      <c r="M532" s="365"/>
      <c r="N532" s="98"/>
      <c r="Q532" s="444"/>
      <c r="R532" s="5" t="s">
        <v>130</v>
      </c>
      <c r="S532" s="6"/>
      <c r="T532" s="6"/>
      <c r="U532" s="449"/>
      <c r="V532" s="6"/>
      <c r="W532" s="450">
        <f>+W529/W531</f>
        <v>0.33239386692033029</v>
      </c>
      <c r="X532" s="6"/>
      <c r="Y532" s="450">
        <f>+Y529/Y531</f>
        <v>0.55169568637127742</v>
      </c>
      <c r="Z532" s="6"/>
      <c r="AA532" s="450">
        <f>+AA529/AA531</f>
        <v>0.19573573573573574</v>
      </c>
      <c r="AB532" s="445"/>
      <c r="AJ532" s="440">
        <f>+AJ529/AJ531</f>
        <v>0.19573573573573574</v>
      </c>
    </row>
    <row r="533" spans="4:36" ht="15.6" thickTop="1" thickBot="1" x14ac:dyDescent="0.35">
      <c r="D533" s="392"/>
      <c r="E533" s="393"/>
      <c r="F533" s="393"/>
      <c r="G533" s="393"/>
      <c r="H533" s="393"/>
      <c r="I533" s="393"/>
      <c r="J533" s="393"/>
      <c r="K533" s="393"/>
      <c r="L533" s="393"/>
      <c r="M533" s="380"/>
      <c r="N533" s="98"/>
      <c r="Q533" s="451"/>
      <c r="R533" s="452"/>
      <c r="S533" s="452"/>
      <c r="T533" s="452"/>
      <c r="U533" s="452"/>
      <c r="V533" s="452"/>
      <c r="W533" s="452"/>
      <c r="X533" s="452"/>
      <c r="Y533" s="452"/>
      <c r="Z533" s="452"/>
      <c r="AA533" s="452"/>
      <c r="AB533" s="453"/>
    </row>
    <row r="537" spans="4:36" x14ac:dyDescent="0.3">
      <c r="F537" s="1">
        <v>1248371</v>
      </c>
    </row>
    <row r="538" spans="4:36" x14ac:dyDescent="0.3">
      <c r="W538" s="1"/>
    </row>
    <row r="539" spans="4:36" x14ac:dyDescent="0.3">
      <c r="F539">
        <v>700</v>
      </c>
    </row>
    <row r="540" spans="4:36" x14ac:dyDescent="0.3">
      <c r="F540" s="76">
        <f>+F539/F537</f>
        <v>5.6073074430597954E-4</v>
      </c>
    </row>
    <row r="542" spans="4:36" x14ac:dyDescent="0.3">
      <c r="F542" s="1">
        <v>60000</v>
      </c>
    </row>
    <row r="543" spans="4:36" x14ac:dyDescent="0.3">
      <c r="F543">
        <f>+F540*F542</f>
        <v>33.643844658358773</v>
      </c>
    </row>
    <row r="545" spans="6:6" x14ac:dyDescent="0.3">
      <c r="F545" s="1">
        <v>331000000</v>
      </c>
    </row>
    <row r="546" spans="6:6" x14ac:dyDescent="0.3">
      <c r="F546" s="56">
        <f>+W86</f>
        <v>811067</v>
      </c>
    </row>
    <row r="547" spans="6:6" x14ac:dyDescent="0.3">
      <c r="F547" s="57">
        <f>+F546/F545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531:G531"/>
    <mergeCell ref="I531:J531"/>
    <mergeCell ref="E517:M517"/>
    <mergeCell ref="I518:L518"/>
    <mergeCell ref="F520:G520"/>
    <mergeCell ref="E526:J526"/>
    <mergeCell ref="I527:J527"/>
    <mergeCell ref="I529:J529"/>
    <mergeCell ref="I530:J530"/>
    <mergeCell ref="H522:I522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2021-09-13T23:52:43Z</dcterms:modified>
</cp:coreProperties>
</file>