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3A1C5657-CFAD-4118-B5B1-8BC2D72867E8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Table'!$A$1:$CJ$192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P187" i="1" l="1"/>
  <c r="BR187" i="1" s="1"/>
  <c r="BR190" i="1" s="1"/>
  <c r="BR191" i="1" s="1"/>
  <c r="BN187" i="1"/>
  <c r="BN190" i="1" s="1"/>
  <c r="BN191" i="1" s="1"/>
  <c r="BK187" i="1"/>
  <c r="BM187" i="1" s="1"/>
  <c r="BM190" i="1" s="1"/>
  <c r="BM191" i="1" s="1"/>
  <c r="BE187" i="1"/>
  <c r="BA187" i="1"/>
  <c r="AX187" i="1"/>
  <c r="AX190" i="1" s="1"/>
  <c r="AX191" i="1" s="1"/>
  <c r="AV187" i="1"/>
  <c r="AV190" i="1" s="1"/>
  <c r="AV191" i="1" s="1"/>
  <c r="AR187" i="1"/>
  <c r="AR190" i="1" s="1"/>
  <c r="AR191" i="1" s="1"/>
  <c r="AL187" i="1"/>
  <c r="AL190" i="1" s="1"/>
  <c r="AL191" i="1" s="1"/>
  <c r="AI187" i="1"/>
  <c r="AI190" i="1" s="1"/>
  <c r="AI191" i="1" s="1"/>
  <c r="AH187" i="1"/>
  <c r="AG187" i="1"/>
  <c r="AA187" i="1"/>
  <c r="AE187" i="1" s="1"/>
  <c r="AE190" i="1" s="1"/>
  <c r="AE191" i="1" s="1"/>
  <c r="V187" i="1"/>
  <c r="V190" i="1" s="1"/>
  <c r="V191" i="1" s="1"/>
  <c r="AP239" i="1"/>
  <c r="AW191" i="1"/>
  <c r="Q191" i="1"/>
  <c r="P191" i="1"/>
  <c r="O191" i="1"/>
  <c r="I191" i="1"/>
  <c r="H191" i="1"/>
  <c r="BQ190" i="1"/>
  <c r="BQ191" i="1" s="1"/>
  <c r="BO190" i="1"/>
  <c r="BO191" i="1" s="1"/>
  <c r="BL190" i="1"/>
  <c r="BL191" i="1" s="1"/>
  <c r="BJ190" i="1"/>
  <c r="BJ191" i="1" s="1"/>
  <c r="BI190" i="1"/>
  <c r="BI191" i="1" s="1"/>
  <c r="BH190" i="1"/>
  <c r="BH191" i="1" s="1"/>
  <c r="BF190" i="1"/>
  <c r="BF191" i="1" s="1"/>
  <c r="BE190" i="1"/>
  <c r="BE191" i="1" s="1"/>
  <c r="BD190" i="1"/>
  <c r="BD191" i="1" s="1"/>
  <c r="BC190" i="1"/>
  <c r="BC191" i="1" s="1"/>
  <c r="BB190" i="1"/>
  <c r="BB191" i="1" s="1"/>
  <c r="BA190" i="1"/>
  <c r="BA191" i="1" s="1"/>
  <c r="AZ190" i="1"/>
  <c r="AZ191" i="1" s="1"/>
  <c r="AY190" i="1"/>
  <c r="AY191" i="1" s="1"/>
  <c r="AW190" i="1"/>
  <c r="AU190" i="1"/>
  <c r="AU191" i="1" s="1"/>
  <c r="AT190" i="1"/>
  <c r="AT191" i="1" s="1"/>
  <c r="AS190" i="1"/>
  <c r="AS191" i="1" s="1"/>
  <c r="AQ190" i="1"/>
  <c r="AQ191" i="1" s="1"/>
  <c r="AP190" i="1"/>
  <c r="AP191" i="1" s="1"/>
  <c r="AO190" i="1"/>
  <c r="AO191" i="1" s="1"/>
  <c r="AN190" i="1"/>
  <c r="AN191" i="1" s="1"/>
  <c r="AM190" i="1"/>
  <c r="AM191" i="1" s="1"/>
  <c r="AK190" i="1"/>
  <c r="AK191" i="1" s="1"/>
  <c r="AJ190" i="1"/>
  <c r="AJ191" i="1" s="1"/>
  <c r="AH190" i="1"/>
  <c r="AH191" i="1" s="1"/>
  <c r="AG190" i="1"/>
  <c r="AG191" i="1" s="1"/>
  <c r="AF190" i="1"/>
  <c r="AF191" i="1" s="1"/>
  <c r="AD190" i="1"/>
  <c r="AD191" i="1" s="1"/>
  <c r="AB190" i="1"/>
  <c r="AB191" i="1" s="1"/>
  <c r="Z190" i="1"/>
  <c r="Z191" i="1" s="1"/>
  <c r="Y190" i="1"/>
  <c r="Y191" i="1" s="1"/>
  <c r="X190" i="1"/>
  <c r="X191" i="1" s="1"/>
  <c r="W190" i="1"/>
  <c r="W191" i="1" s="1"/>
  <c r="U190" i="1"/>
  <c r="U191" i="1" s="1"/>
  <c r="T190" i="1"/>
  <c r="T191" i="1" s="1"/>
  <c r="S190" i="1"/>
  <c r="S191" i="1" s="1"/>
  <c r="R190" i="1"/>
  <c r="R191" i="1" s="1"/>
  <c r="Q190" i="1"/>
  <c r="P190" i="1"/>
  <c r="O190" i="1"/>
  <c r="N190" i="1"/>
  <c r="N191" i="1" s="1"/>
  <c r="M190" i="1"/>
  <c r="M191" i="1" s="1"/>
  <c r="L190" i="1"/>
  <c r="L191" i="1" s="1"/>
  <c r="K190" i="1"/>
  <c r="K191" i="1" s="1"/>
  <c r="J190" i="1"/>
  <c r="J191" i="1" s="1"/>
  <c r="I190" i="1"/>
  <c r="H190" i="1"/>
  <c r="D191" i="1"/>
  <c r="D190" i="1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E196" i="2"/>
  <c r="W188" i="2"/>
  <c r="S188" i="2"/>
  <c r="K188" i="2"/>
  <c r="M188" i="2" s="1"/>
  <c r="I20" i="3"/>
  <c r="N187" i="1"/>
  <c r="J187" i="1"/>
  <c r="H187" i="1"/>
  <c r="O187" i="1" s="1"/>
  <c r="BN186" i="1"/>
  <c r="BE186" i="1"/>
  <c r="BP186" i="1" s="1"/>
  <c r="BR186" i="1" s="1"/>
  <c r="BA186" i="1"/>
  <c r="BK186" i="1" s="1"/>
  <c r="AX186" i="1"/>
  <c r="AL186" i="1"/>
  <c r="AR186" i="1" s="1"/>
  <c r="AG186" i="1"/>
  <c r="AI186" i="1" s="1"/>
  <c r="AE186" i="1"/>
  <c r="AA186" i="1"/>
  <c r="V186" i="1"/>
  <c r="Q186" i="1"/>
  <c r="O186" i="1"/>
  <c r="N186" i="1"/>
  <c r="J186" i="1"/>
  <c r="H186" i="1"/>
  <c r="S187" i="2"/>
  <c r="W187" i="2"/>
  <c r="K187" i="2"/>
  <c r="Q187" i="2" s="1"/>
  <c r="BN185" i="1"/>
  <c r="BE185" i="1"/>
  <c r="BA185" i="1"/>
  <c r="BK185" i="1" s="1"/>
  <c r="AX185" i="1"/>
  <c r="AL185" i="1"/>
  <c r="AR185" i="1" s="1"/>
  <c r="AG185" i="1"/>
  <c r="AI185" i="1" s="1"/>
  <c r="AE185" i="1"/>
  <c r="AA185" i="1"/>
  <c r="V185" i="1"/>
  <c r="Q185" i="1"/>
  <c r="O185" i="1"/>
  <c r="N185" i="1"/>
  <c r="J185" i="1"/>
  <c r="H185" i="1"/>
  <c r="AV185" i="1" s="1"/>
  <c r="W186" i="2"/>
  <c r="S186" i="2"/>
  <c r="K186" i="2"/>
  <c r="Q186" i="2" s="1"/>
  <c r="BK190" i="1" l="1"/>
  <c r="BK191" i="1" s="1"/>
  <c r="BG187" i="1"/>
  <c r="BG190" i="1" s="1"/>
  <c r="BG191" i="1" s="1"/>
  <c r="AA190" i="1"/>
  <c r="AA191" i="1" s="1"/>
  <c r="AC187" i="1"/>
  <c r="AC190" i="1" s="1"/>
  <c r="AC191" i="1" s="1"/>
  <c r="BP190" i="1"/>
  <c r="BP191" i="1" s="1"/>
  <c r="U188" i="2"/>
  <c r="Q188" i="2"/>
  <c r="BM186" i="1"/>
  <c r="AC186" i="1"/>
  <c r="AH186" i="1"/>
  <c r="BG186" i="1"/>
  <c r="S186" i="1"/>
  <c r="AV186" i="1"/>
  <c r="U187" i="2"/>
  <c r="M187" i="2"/>
  <c r="BG185" i="1"/>
  <c r="AC185" i="1"/>
  <c r="BM185" i="1"/>
  <c r="S185" i="1"/>
  <c r="BP185" i="1"/>
  <c r="U186" i="2"/>
  <c r="M186" i="2"/>
  <c r="BR185" i="1" l="1"/>
  <c r="AA114" i="1" l="1"/>
  <c r="H114" i="1"/>
  <c r="AH185" i="1"/>
  <c r="BW184" i="1"/>
  <c r="BN184" i="1"/>
  <c r="BE184" i="1"/>
  <c r="BA184" i="1"/>
  <c r="AX184" i="1"/>
  <c r="AL184" i="1"/>
  <c r="AG184" i="1"/>
  <c r="V184" i="1"/>
  <c r="Q184" i="1"/>
  <c r="N184" i="1"/>
  <c r="W185" i="2"/>
  <c r="S185" i="2"/>
  <c r="K185" i="2"/>
  <c r="M185" i="2" s="1"/>
  <c r="U139" i="3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U150" i="3" s="1"/>
  <c r="U151" i="3" s="1"/>
  <c r="BG184" i="1" l="1"/>
  <c r="BK184" i="1"/>
  <c r="AR184" i="1"/>
  <c r="U185" i="2"/>
  <c r="Q185" i="2"/>
  <c r="BM184" i="1" l="1"/>
  <c r="AH184" i="1" l="1"/>
  <c r="BN183" i="1"/>
  <c r="BE183" i="1"/>
  <c r="BA183" i="1"/>
  <c r="BK183" i="1" s="1"/>
  <c r="AX183" i="1"/>
  <c r="AL183" i="1"/>
  <c r="AR183" i="1" s="1"/>
  <c r="AG183" i="1"/>
  <c r="V183" i="1"/>
  <c r="Q183" i="1"/>
  <c r="N183" i="1"/>
  <c r="S184" i="2"/>
  <c r="W184" i="2"/>
  <c r="K184" i="2"/>
  <c r="Q184" i="2" s="1"/>
  <c r="AI183" i="1" l="1"/>
  <c r="S183" i="1"/>
  <c r="BG183" i="1"/>
  <c r="BM183" i="1"/>
  <c r="U184" i="2"/>
  <c r="M184" i="2"/>
  <c r="S183" i="2"/>
  <c r="BS190" i="1" l="1"/>
  <c r="BS191" i="1" s="1"/>
  <c r="BN182" i="1"/>
  <c r="BE182" i="1"/>
  <c r="BA182" i="1"/>
  <c r="BK182" i="1" s="1"/>
  <c r="AX182" i="1"/>
  <c r="AL182" i="1"/>
  <c r="AR182" i="1" s="1"/>
  <c r="AG182" i="1"/>
  <c r="AI182" i="1" s="1"/>
  <c r="V182" i="1"/>
  <c r="Q182" i="1"/>
  <c r="N182" i="1"/>
  <c r="BW183" i="1"/>
  <c r="BW185" i="1" s="1"/>
  <c r="BW186" i="1" s="1"/>
  <c r="BW187" i="1" s="1"/>
  <c r="BW182" i="1"/>
  <c r="B182" i="1"/>
  <c r="B183" i="1" s="1"/>
  <c r="B184" i="1" s="1"/>
  <c r="B185" i="1" s="1"/>
  <c r="B186" i="1" s="1"/>
  <c r="B187" i="1" s="1"/>
  <c r="K183" i="2"/>
  <c r="M183" i="2" s="1"/>
  <c r="W183" i="2"/>
  <c r="W189" i="2" s="1"/>
  <c r="W190" i="2" s="1"/>
  <c r="W191" i="2" s="1"/>
  <c r="W192" i="2" s="1"/>
  <c r="W193" i="2" s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BE181" i="1"/>
  <c r="BA181" i="1"/>
  <c r="BK181" i="1" s="1"/>
  <c r="AL181" i="1"/>
  <c r="AR181" i="1" s="1"/>
  <c r="AG181" i="1"/>
  <c r="AI181" i="1" s="1"/>
  <c r="Q181" i="1"/>
  <c r="S181" i="1" s="1"/>
  <c r="N181" i="1"/>
  <c r="S182" i="2"/>
  <c r="U182" i="2" s="1"/>
  <c r="K182" i="2"/>
  <c r="M182" i="2" s="1"/>
  <c r="BE180" i="1"/>
  <c r="BA180" i="1"/>
  <c r="BK180" i="1" s="1"/>
  <c r="AL180" i="1"/>
  <c r="AR180" i="1" s="1"/>
  <c r="AG180" i="1"/>
  <c r="AI180" i="1" s="1"/>
  <c r="Q180" i="1"/>
  <c r="N180" i="1"/>
  <c r="S181" i="2"/>
  <c r="K181" i="2"/>
  <c r="M181" i="2" s="1"/>
  <c r="S180" i="2"/>
  <c r="U180" i="2" s="1"/>
  <c r="K180" i="2"/>
  <c r="BE179" i="1"/>
  <c r="BA179" i="1"/>
  <c r="BK179" i="1" s="1"/>
  <c r="AL179" i="1"/>
  <c r="AR179" i="1" s="1"/>
  <c r="AG179" i="1"/>
  <c r="AI179" i="1" s="1"/>
  <c r="Q179" i="1"/>
  <c r="S179" i="1" s="1"/>
  <c r="N179" i="1"/>
  <c r="S179" i="2"/>
  <c r="BE178" i="1"/>
  <c r="BA178" i="1"/>
  <c r="BK178" i="1" s="1"/>
  <c r="AL178" i="1"/>
  <c r="AR178" i="1" s="1"/>
  <c r="AG178" i="1"/>
  <c r="AI178" i="1" s="1"/>
  <c r="Q178" i="1"/>
  <c r="N178" i="1"/>
  <c r="K179" i="2"/>
  <c r="Q179" i="2" s="1"/>
  <c r="S178" i="2"/>
  <c r="BE177" i="1"/>
  <c r="BA177" i="1"/>
  <c r="BK177" i="1" s="1"/>
  <c r="AL177" i="1"/>
  <c r="AR177" i="1" s="1"/>
  <c r="AG177" i="1"/>
  <c r="Q177" i="1"/>
  <c r="N177" i="1"/>
  <c r="K178" i="2"/>
  <c r="M178" i="2" s="1"/>
  <c r="AI177" i="1" l="1"/>
  <c r="AI184" i="1"/>
  <c r="S177" i="1"/>
  <c r="S184" i="1"/>
  <c r="AH182" i="1"/>
  <c r="AH183" i="1"/>
  <c r="U183" i="2"/>
  <c r="BM182" i="1"/>
  <c r="BG182" i="1"/>
  <c r="S182" i="1"/>
  <c r="Q183" i="2"/>
  <c r="AH181" i="1"/>
  <c r="BM181" i="1"/>
  <c r="BG181" i="1"/>
  <c r="Q182" i="2"/>
  <c r="BM180" i="1"/>
  <c r="AH180" i="1"/>
  <c r="BG180" i="1"/>
  <c r="S180" i="1"/>
  <c r="AH179" i="1"/>
  <c r="U181" i="2"/>
  <c r="Q181" i="2"/>
  <c r="M180" i="2"/>
  <c r="Q180" i="2"/>
  <c r="BM179" i="1"/>
  <c r="BG179" i="1"/>
  <c r="BM178" i="1"/>
  <c r="AH178" i="1"/>
  <c r="BG178" i="1"/>
  <c r="S178" i="1"/>
  <c r="U179" i="2"/>
  <c r="M179" i="2"/>
  <c r="BM177" i="1"/>
  <c r="BG177" i="1"/>
  <c r="U178" i="2"/>
  <c r="Q178" i="2"/>
  <c r="AH177" i="1"/>
  <c r="BE176" i="1"/>
  <c r="BA176" i="1"/>
  <c r="BK176" i="1" s="1"/>
  <c r="AL176" i="1"/>
  <c r="AR176" i="1" s="1"/>
  <c r="AG176" i="1"/>
  <c r="AI176" i="1" s="1"/>
  <c r="Q176" i="1"/>
  <c r="N176" i="1"/>
  <c r="S176" i="2"/>
  <c r="S177" i="2"/>
  <c r="K177" i="2"/>
  <c r="M177" i="2" s="1"/>
  <c r="BG176" i="1" l="1"/>
  <c r="BM176" i="1"/>
  <c r="S176" i="1"/>
  <c r="Q177" i="2"/>
  <c r="U177" i="2"/>
  <c r="AH176" i="1"/>
  <c r="BE175" i="1"/>
  <c r="BA175" i="1"/>
  <c r="BK175" i="1" s="1"/>
  <c r="AL175" i="1"/>
  <c r="AR175" i="1" s="1"/>
  <c r="AG175" i="1"/>
  <c r="AI175" i="1" s="1"/>
  <c r="Q175" i="1"/>
  <c r="N175" i="1"/>
  <c r="K176" i="2"/>
  <c r="U176" i="2" l="1"/>
  <c r="BM175" i="1"/>
  <c r="S175" i="1"/>
  <c r="BG175" i="1"/>
  <c r="Q176" i="2"/>
  <c r="M176" i="2"/>
  <c r="S175" i="2" l="1"/>
  <c r="AH175" i="1" l="1"/>
  <c r="BE174" i="1"/>
  <c r="BA174" i="1"/>
  <c r="BK174" i="1" s="1"/>
  <c r="AL174" i="1"/>
  <c r="AR174" i="1" s="1"/>
  <c r="AG174" i="1"/>
  <c r="AI174" i="1" s="1"/>
  <c r="Q174" i="1"/>
  <c r="N174" i="1"/>
  <c r="K175" i="2"/>
  <c r="Q175" i="2" s="1"/>
  <c r="BM174" i="1" l="1"/>
  <c r="BG174" i="1"/>
  <c r="S174" i="1"/>
  <c r="U175" i="2"/>
  <c r="M175" i="2"/>
  <c r="S174" i="2"/>
  <c r="AH174" i="1"/>
  <c r="BE173" i="1"/>
  <c r="BA173" i="1"/>
  <c r="BK173" i="1" s="1"/>
  <c r="AL173" i="1"/>
  <c r="AR173" i="1" s="1"/>
  <c r="AG173" i="1"/>
  <c r="AI173" i="1" s="1"/>
  <c r="Q173" i="1"/>
  <c r="S173" i="1" s="1"/>
  <c r="N173" i="1"/>
  <c r="K174" i="2"/>
  <c r="Q174" i="2" s="1"/>
  <c r="S173" i="2"/>
  <c r="BA200" i="1"/>
  <c r="BE172" i="1"/>
  <c r="BA172" i="1"/>
  <c r="BK172" i="1" s="1"/>
  <c r="AL172" i="1"/>
  <c r="AG172" i="1"/>
  <c r="AI172" i="1" s="1"/>
  <c r="Q172" i="1"/>
  <c r="N172" i="1"/>
  <c r="K173" i="2"/>
  <c r="Q173" i="2" s="1"/>
  <c r="AH173" i="1" l="1"/>
  <c r="BG173" i="1"/>
  <c r="BM173" i="1"/>
  <c r="U174" i="2"/>
  <c r="M174" i="2"/>
  <c r="BG172" i="1"/>
  <c r="BM172" i="1"/>
  <c r="AR172" i="1"/>
  <c r="S172" i="1"/>
  <c r="U173" i="2"/>
  <c r="M173" i="2"/>
  <c r="AH172" i="1"/>
  <c r="BE171" i="1"/>
  <c r="BA171" i="1"/>
  <c r="BG171" i="1" s="1"/>
  <c r="AL171" i="1"/>
  <c r="AR171" i="1" s="1"/>
  <c r="AG171" i="1"/>
  <c r="Q171" i="1"/>
  <c r="N171" i="1"/>
  <c r="S172" i="2"/>
  <c r="K172" i="2"/>
  <c r="Q172" i="2" s="1"/>
  <c r="BK171" i="1" l="1"/>
  <c r="U172" i="2"/>
  <c r="M172" i="2"/>
  <c r="BM171" i="1" l="1"/>
  <c r="S170" i="2" l="1"/>
  <c r="K170" i="2"/>
  <c r="Q170" i="2" s="1"/>
  <c r="S171" i="2"/>
  <c r="U171" i="2" s="1"/>
  <c r="K171" i="2"/>
  <c r="U170" i="2" l="1"/>
  <c r="Q171" i="2"/>
  <c r="M170" i="2"/>
  <c r="M171" i="2"/>
  <c r="AH171" i="1" l="1"/>
  <c r="BE170" i="1"/>
  <c r="BA170" i="1"/>
  <c r="AL170" i="1"/>
  <c r="AG170" i="1"/>
  <c r="Q170" i="1"/>
  <c r="N170" i="1"/>
  <c r="AR170" i="1" l="1"/>
  <c r="BG170" i="1"/>
  <c r="S169" i="2" l="1"/>
  <c r="AH170" i="1" l="1"/>
  <c r="BE169" i="1"/>
  <c r="BA169" i="1"/>
  <c r="AL169" i="1"/>
  <c r="AR169" i="1" s="1"/>
  <c r="AG169" i="1"/>
  <c r="Q169" i="1"/>
  <c r="N169" i="1"/>
  <c r="K169" i="2"/>
  <c r="M169" i="2" s="1"/>
  <c r="U169" i="2" l="1"/>
  <c r="BG169" i="1"/>
  <c r="Q169" i="2"/>
  <c r="S168" i="2" l="1"/>
  <c r="AH169" i="1" l="1"/>
  <c r="BE168" i="1"/>
  <c r="BA168" i="1"/>
  <c r="AL168" i="1"/>
  <c r="AR168" i="1" s="1"/>
  <c r="AG168" i="1"/>
  <c r="Q168" i="1"/>
  <c r="N168" i="1"/>
  <c r="K168" i="2"/>
  <c r="Q168" i="2" s="1"/>
  <c r="BG168" i="1" l="1"/>
  <c r="U168" i="2"/>
  <c r="M168" i="2"/>
  <c r="S167" i="2"/>
  <c r="AH168" i="1" l="1"/>
  <c r="BE167" i="1" l="1"/>
  <c r="BA167" i="1"/>
  <c r="AL167" i="1"/>
  <c r="AG167" i="1"/>
  <c r="Q167" i="1"/>
  <c r="N167" i="1"/>
  <c r="K167" i="2"/>
  <c r="M167" i="2" s="1"/>
  <c r="AR167" i="1" l="1"/>
  <c r="BG167" i="1"/>
  <c r="U167" i="2"/>
  <c r="Q167" i="2"/>
  <c r="N110" i="1" l="1"/>
  <c r="N103" i="1"/>
  <c r="S166" i="2"/>
  <c r="AH167" i="1" l="1"/>
  <c r="BE166" i="1"/>
  <c r="BA166" i="1"/>
  <c r="AL166" i="1"/>
  <c r="AR166" i="1" s="1"/>
  <c r="AG166" i="1"/>
  <c r="Q166" i="1"/>
  <c r="N166" i="1"/>
  <c r="K166" i="2"/>
  <c r="M166" i="2" s="1"/>
  <c r="S165" i="2"/>
  <c r="BE165" i="1"/>
  <c r="BG165" i="1" s="1"/>
  <c r="BA165" i="1"/>
  <c r="AL165" i="1"/>
  <c r="AR165" i="1" s="1"/>
  <c r="AG165" i="1"/>
  <c r="Q165" i="1"/>
  <c r="N165" i="1"/>
  <c r="AH166" i="1" l="1"/>
  <c r="BG166" i="1"/>
  <c r="U166" i="2"/>
  <c r="Q166" i="2"/>
  <c r="AH165" i="1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M165" i="2" s="1"/>
  <c r="BG164" i="1" l="1"/>
  <c r="U165" i="2"/>
  <c r="Q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Q164" i="2" s="1"/>
  <c r="BG163" i="1" l="1"/>
  <c r="AR163" i="1"/>
  <c r="U164" i="2"/>
  <c r="M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3" i="2" s="1"/>
  <c r="BK168" i="1" l="1"/>
  <c r="BG162" i="1"/>
  <c r="AR162" i="1"/>
  <c r="U163" i="2"/>
  <c r="Q163" i="2"/>
  <c r="BM168" i="1" l="1"/>
  <c r="BE161" i="1"/>
  <c r="BA161" i="1"/>
  <c r="AL161" i="1"/>
  <c r="AR161" i="1" s="1"/>
  <c r="AG161" i="1"/>
  <c r="Q161" i="1"/>
  <c r="S168" i="1" s="1"/>
  <c r="N161" i="1"/>
  <c r="K162" i="2"/>
  <c r="Q162" i="2" s="1"/>
  <c r="AI168" i="1" l="1"/>
  <c r="BK167" i="1"/>
  <c r="BM167" i="1" s="1"/>
  <c r="BG161" i="1"/>
  <c r="U162" i="2"/>
  <c r="M162" i="2"/>
  <c r="S161" i="2"/>
  <c r="BE160" i="1" l="1"/>
  <c r="BA160" i="1"/>
  <c r="AL160" i="1"/>
  <c r="AR160" i="1" s="1"/>
  <c r="AG160" i="1"/>
  <c r="Q160" i="1"/>
  <c r="N160" i="1"/>
  <c r="K161" i="2"/>
  <c r="Q161" i="2" s="1"/>
  <c r="S160" i="2"/>
  <c r="BE159" i="1"/>
  <c r="BA159" i="1"/>
  <c r="AL159" i="1"/>
  <c r="AR159" i="1" s="1"/>
  <c r="AG159" i="1"/>
  <c r="Q159" i="1"/>
  <c r="N159" i="1"/>
  <c r="K160" i="2"/>
  <c r="M160" i="2" s="1"/>
  <c r="S159" i="2"/>
  <c r="BE158" i="1"/>
  <c r="BA158" i="1"/>
  <c r="AL158" i="1"/>
  <c r="AR158" i="1" s="1"/>
  <c r="AG158" i="1"/>
  <c r="Q158" i="1"/>
  <c r="K159" i="2"/>
  <c r="Q159" i="2" s="1"/>
  <c r="S165" i="1" l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240" i="1"/>
  <c r="AP241" i="1" s="1"/>
  <c r="U160" i="2"/>
  <c r="BG159" i="1"/>
  <c r="Q160" i="2"/>
  <c r="BG158" i="1"/>
  <c r="U159" i="2"/>
  <c r="M159" i="2"/>
  <c r="BM166" i="1" l="1"/>
  <c r="BK202" i="1"/>
  <c r="AH158" i="1"/>
  <c r="BE157" i="1"/>
  <c r="BA157" i="1"/>
  <c r="AL157" i="1"/>
  <c r="AR157" i="1" s="1"/>
  <c r="AG157" i="1"/>
  <c r="AI164" i="1" s="1"/>
  <c r="Q157" i="1"/>
  <c r="S164" i="1" s="1"/>
  <c r="S158" i="2"/>
  <c r="K158" i="2"/>
  <c r="Q158" i="2" s="1"/>
  <c r="BK163" i="1" l="1"/>
  <c r="BM163" i="1" s="1"/>
  <c r="BG157" i="1"/>
  <c r="AI157" i="1"/>
  <c r="U158" i="2"/>
  <c r="M158" i="2"/>
  <c r="AH156" i="1"/>
  <c r="BE156" i="1"/>
  <c r="BA156" i="1"/>
  <c r="AL156" i="1"/>
  <c r="AG156" i="1"/>
  <c r="Q156" i="1"/>
  <c r="S163" i="1" s="1"/>
  <c r="S157" i="2"/>
  <c r="K157" i="2"/>
  <c r="M157" i="2" s="1"/>
  <c r="AI156" i="1" l="1"/>
  <c r="AI163" i="1"/>
  <c r="BK162" i="1"/>
  <c r="BM162" i="1" s="1"/>
  <c r="AH157" i="1"/>
  <c r="AR156" i="1"/>
  <c r="BG156" i="1"/>
  <c r="U157" i="2"/>
  <c r="Q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6" i="2" s="1"/>
  <c r="AI155" i="1" l="1"/>
  <c r="AI162" i="1"/>
  <c r="BK161" i="1"/>
  <c r="BM161" i="1" s="1"/>
  <c r="BG155" i="1"/>
  <c r="U156" i="2"/>
  <c r="Q156" i="2"/>
  <c r="S155" i="2" l="1"/>
  <c r="AH155" i="1" l="1"/>
  <c r="BE154" i="1"/>
  <c r="BA154" i="1"/>
  <c r="AL154" i="1"/>
  <c r="AG154" i="1"/>
  <c r="Q154" i="1"/>
  <c r="S161" i="1" s="1"/>
  <c r="K155" i="2"/>
  <c r="Q155" i="2" s="1"/>
  <c r="J242" i="1"/>
  <c r="AA237" i="1"/>
  <c r="H235" i="1"/>
  <c r="O237" i="1"/>
  <c r="O238" i="1" s="1"/>
  <c r="H236" i="1"/>
  <c r="J236" i="1" s="1"/>
  <c r="H237" i="1"/>
  <c r="J237" i="1" s="1"/>
  <c r="S154" i="2"/>
  <c r="AI154" i="1" l="1"/>
  <c r="AI161" i="1"/>
  <c r="BK160" i="1"/>
  <c r="BM160" i="1" s="1"/>
  <c r="AR154" i="1"/>
  <c r="BG154" i="1"/>
  <c r="U155" i="2"/>
  <c r="M155" i="2"/>
  <c r="J235" i="1"/>
  <c r="AH154" i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4" i="2" s="1"/>
  <c r="BG153" i="1" l="1"/>
  <c r="AI153" i="1"/>
  <c r="U154" i="2"/>
  <c r="Q154" i="2"/>
  <c r="S153" i="2"/>
  <c r="AG112" i="1" l="1"/>
  <c r="N131" i="1"/>
  <c r="K153" i="2"/>
  <c r="M153" i="2" s="1"/>
  <c r="K152" i="2"/>
  <c r="M152" i="2"/>
  <c r="Q152" i="2"/>
  <c r="S152" i="2"/>
  <c r="U152" i="2"/>
  <c r="U153" i="2" l="1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U151" i="2" l="1"/>
  <c r="BG150" i="1"/>
  <c r="AR150" i="1"/>
  <c r="BE149" i="1"/>
  <c r="BA149" i="1"/>
  <c r="BK155" i="1" s="1"/>
  <c r="BM155" i="1" s="1"/>
  <c r="AL149" i="1"/>
  <c r="Q149" i="1"/>
  <c r="S156" i="1" s="1"/>
  <c r="K150" i="2"/>
  <c r="Q150" i="2" s="1"/>
  <c r="Q151" i="2" l="1"/>
  <c r="M151" i="2"/>
  <c r="BG149" i="1"/>
  <c r="AR149" i="1"/>
  <c r="U150" i="2"/>
  <c r="M150" i="2"/>
  <c r="S149" i="2"/>
  <c r="BE148" i="1" l="1"/>
  <c r="BA148" i="1"/>
  <c r="BK154" i="1" s="1"/>
  <c r="BM154" i="1" s="1"/>
  <c r="AL148" i="1"/>
  <c r="Q148" i="1"/>
  <c r="S155" i="1" s="1"/>
  <c r="K149" i="2"/>
  <c r="Q149" i="2" s="1"/>
  <c r="AR148" i="1" l="1"/>
  <c r="BG148" i="1"/>
  <c r="U149" i="2"/>
  <c r="M149" i="2"/>
  <c r="S148" i="2"/>
  <c r="BE147" i="1" l="1"/>
  <c r="BA147" i="1"/>
  <c r="BK153" i="1" s="1"/>
  <c r="AL147" i="1"/>
  <c r="AR147" i="1" s="1"/>
  <c r="Q147" i="1"/>
  <c r="S154" i="1" s="1"/>
  <c r="K148" i="2"/>
  <c r="Q148" i="2" s="1"/>
  <c r="F188" i="3"/>
  <c r="F187" i="3"/>
  <c r="S147" i="2"/>
  <c r="BM153" i="1" l="1"/>
  <c r="BG147" i="1"/>
  <c r="U148" i="2"/>
  <c r="M148" i="2"/>
  <c r="BE146" i="1" l="1"/>
  <c r="BA146" i="1"/>
  <c r="BK152" i="1" s="1"/>
  <c r="BM152" i="1" s="1"/>
  <c r="AL146" i="1"/>
  <c r="Q146" i="1"/>
  <c r="S153" i="1" s="1"/>
  <c r="K147" i="2"/>
  <c r="Q147" i="2" s="1"/>
  <c r="AR146" i="1" l="1"/>
  <c r="BG146" i="1"/>
  <c r="U147" i="2"/>
  <c r="M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M145" i="2" s="1"/>
  <c r="BE143" i="1"/>
  <c r="BA143" i="1"/>
  <c r="AL143" i="1"/>
  <c r="AR143" i="1" s="1"/>
  <c r="Q143" i="1"/>
  <c r="S150" i="1" s="1"/>
  <c r="S144" i="2"/>
  <c r="K144" i="2"/>
  <c r="BK150" i="1" l="1"/>
  <c r="BM150" i="1" s="1"/>
  <c r="BK149" i="1"/>
  <c r="BG145" i="1"/>
  <c r="U146" i="2"/>
  <c r="M146" i="2"/>
  <c r="BG144" i="1"/>
  <c r="AR144" i="1"/>
  <c r="Q145" i="2"/>
  <c r="U145" i="2"/>
  <c r="BG143" i="1"/>
  <c r="U144" i="2"/>
  <c r="M144" i="2"/>
  <c r="BE142" i="1"/>
  <c r="BA142" i="1"/>
  <c r="BK148" i="1" s="1"/>
  <c r="BM148" i="1" s="1"/>
  <c r="AL142" i="1"/>
  <c r="AR142" i="1" s="1"/>
  <c r="Q142" i="1"/>
  <c r="S149" i="1" s="1"/>
  <c r="S143" i="2"/>
  <c r="K143" i="2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213" i="1" l="1"/>
  <c r="AR208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212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G190" i="1"/>
  <c r="G191" i="1" s="1"/>
  <c r="F190" i="1"/>
  <c r="F191" i="1" s="1"/>
  <c r="E190" i="1"/>
  <c r="E191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U138" i="2" s="1"/>
  <c r="K138" i="2"/>
  <c r="BE136" i="1"/>
  <c r="BA136" i="1"/>
  <c r="BK142" i="1" s="1"/>
  <c r="BM142" i="1" s="1"/>
  <c r="AL136" i="1"/>
  <c r="AR136" i="1" s="1"/>
  <c r="Q136" i="1"/>
  <c r="S143" i="1" s="1"/>
  <c r="V168" i="1" l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BG135" i="1" l="1"/>
  <c r="U136" i="2"/>
  <c r="S135" i="2"/>
  <c r="BE134" i="1" l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Q135" i="2" l="1"/>
  <c r="M136" i="2"/>
  <c r="Q136" i="2"/>
  <c r="BK139" i="1"/>
  <c r="BG134" i="1"/>
  <c r="U135" i="2"/>
  <c r="M135" i="2"/>
  <c r="BG133" i="1"/>
  <c r="U134" i="2"/>
  <c r="D217" i="1"/>
  <c r="S133" i="2"/>
  <c r="AH164" i="1" l="1"/>
  <c r="AH163" i="1"/>
  <c r="AH162" i="1"/>
  <c r="AH160" i="1"/>
  <c r="AH159" i="1"/>
  <c r="AH161" i="1"/>
  <c r="BM139" i="1"/>
  <c r="W24" i="1"/>
  <c r="W25" i="1"/>
  <c r="BE132" i="1"/>
  <c r="BA132" i="1"/>
  <c r="BK138" i="1" s="1"/>
  <c r="AL132" i="1"/>
  <c r="AR132" i="1" s="1"/>
  <c r="Q132" i="1"/>
  <c r="S139" i="1" s="1"/>
  <c r="K133" i="2"/>
  <c r="M134" i="2" l="1"/>
  <c r="Q134" i="2"/>
  <c r="BM138" i="1"/>
  <c r="BG132" i="1"/>
  <c r="U133" i="2"/>
  <c r="AR21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Q131" i="2" s="1"/>
  <c r="K130" i="2"/>
  <c r="U130" i="2" s="1"/>
  <c r="S129" i="2"/>
  <c r="S137" i="1" l="1"/>
  <c r="Q133" i="2"/>
  <c r="M133" i="2"/>
  <c r="U132" i="2"/>
  <c r="U131" i="2"/>
  <c r="M132" i="2"/>
  <c r="M131" i="2"/>
  <c r="Q132" i="2"/>
  <c r="BG131" i="1"/>
  <c r="BG130" i="1"/>
  <c r="BE129" i="1" l="1"/>
  <c r="BA129" i="1"/>
  <c r="AL129" i="1"/>
  <c r="AR129" i="1" s="1"/>
  <c r="Q129" i="1"/>
  <c r="K129" i="2"/>
  <c r="S136" i="1" l="1"/>
  <c r="Q130" i="2"/>
  <c r="M130" i="2"/>
  <c r="BG129" i="1"/>
  <c r="U129" i="2"/>
  <c r="BE128" i="1"/>
  <c r="BA128" i="1"/>
  <c r="AL128" i="1"/>
  <c r="AR128" i="1" s="1"/>
  <c r="Q128" i="1"/>
  <c r="S135" i="1" s="1"/>
  <c r="S128" i="2"/>
  <c r="BG128" i="1" l="1"/>
  <c r="BE127" i="1" l="1"/>
  <c r="BA127" i="1"/>
  <c r="AL127" i="1"/>
  <c r="AR127" i="1" s="1"/>
  <c r="Q127" i="1"/>
  <c r="S134" i="1" s="1"/>
  <c r="K128" i="2"/>
  <c r="Q128" i="2" l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BG126" i="1" l="1"/>
  <c r="U127" i="2"/>
  <c r="BE125" i="1" l="1"/>
  <c r="BA125" i="1"/>
  <c r="BK131" i="1" s="1"/>
  <c r="BM131" i="1" s="1"/>
  <c r="AL125" i="1"/>
  <c r="AR125" i="1" s="1"/>
  <c r="Q125" i="1"/>
  <c r="S132" i="1" s="1"/>
  <c r="K126" i="2"/>
  <c r="M127" i="2" l="1"/>
  <c r="Q127" i="2"/>
  <c r="BG125" i="1"/>
  <c r="U126" i="2"/>
  <c r="S125" i="2" l="1"/>
  <c r="AH114" i="1"/>
  <c r="AR207" i="1" s="1"/>
  <c r="AH113" i="1"/>
  <c r="AP207" i="1" s="1"/>
  <c r="BE124" i="1"/>
  <c r="BA124" i="1"/>
  <c r="AL124" i="1"/>
  <c r="AG124" i="1"/>
  <c r="AI131" i="1" s="1"/>
  <c r="K125" i="2"/>
  <c r="S124" i="2"/>
  <c r="AV207" i="1" l="1"/>
  <c r="AH115" i="1"/>
  <c r="Q126" i="2"/>
  <c r="M126" i="2"/>
  <c r="BG124" i="1"/>
  <c r="AR124" i="1"/>
  <c r="U125" i="2"/>
  <c r="BE123" i="1" l="1"/>
  <c r="BA123" i="1"/>
  <c r="AL123" i="1"/>
  <c r="AR123" i="1" s="1"/>
  <c r="K124" i="2"/>
  <c r="M125" i="2" l="1"/>
  <c r="Q125" i="2"/>
  <c r="BG123" i="1"/>
  <c r="U124" i="2"/>
  <c r="S123" i="2"/>
  <c r="BE122" i="1" l="1"/>
  <c r="BA122" i="1"/>
  <c r="AL122" i="1"/>
  <c r="AR122" i="1" s="1"/>
  <c r="K123" i="2"/>
  <c r="M124" i="2" l="1"/>
  <c r="Q124" i="2"/>
  <c r="BG122" i="1"/>
  <c r="U123" i="2"/>
  <c r="M123" i="2"/>
  <c r="S122" i="2"/>
  <c r="D224" i="1"/>
  <c r="BE121" i="1"/>
  <c r="BA121" i="1"/>
  <c r="AL121" i="1"/>
  <c r="AR121" i="1" s="1"/>
  <c r="K122" i="2"/>
  <c r="Q123" i="2" l="1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AH145" i="1" s="1"/>
  <c r="D115" i="1"/>
  <c r="D114" i="1"/>
  <c r="AG211" i="1" l="1"/>
  <c r="AP208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AV208" i="1" l="1"/>
  <c r="S127" i="1"/>
  <c r="S128" i="1"/>
  <c r="BE119" i="1"/>
  <c r="BA119" i="1"/>
  <c r="AL119" i="1"/>
  <c r="AR119" i="1" s="1"/>
  <c r="Q119" i="1"/>
  <c r="S126" i="1" s="1"/>
  <c r="K120" i="2"/>
  <c r="Q121" i="2" l="1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M118" i="2"/>
  <c r="BG117" i="1"/>
  <c r="BE116" i="1"/>
  <c r="BA116" i="1"/>
  <c r="AL116" i="1"/>
  <c r="AR116" i="1" s="1"/>
  <c r="S117" i="2"/>
  <c r="K117" i="2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AL113" i="1"/>
  <c r="K114" i="2"/>
  <c r="M115" i="2" l="1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169" i="3"/>
  <c r="AA168" i="3"/>
  <c r="AA167" i="3"/>
  <c r="AA166" i="3"/>
  <c r="AA165" i="3"/>
  <c r="AA164" i="3"/>
  <c r="AA163" i="3"/>
  <c r="AA162" i="3"/>
  <c r="AA161" i="3"/>
  <c r="AA160" i="3"/>
  <c r="AJ170" i="3"/>
  <c r="AJ173" i="3" s="1"/>
  <c r="Y170" i="3"/>
  <c r="W170" i="3"/>
  <c r="S107" i="2"/>
  <c r="AA170" i="3" l="1"/>
  <c r="AA173" i="3" s="1"/>
  <c r="U170" i="3"/>
  <c r="Q109" i="2"/>
  <c r="M109" i="2"/>
  <c r="BG107" i="1"/>
  <c r="U108" i="2"/>
  <c r="M108" i="2"/>
  <c r="BE106" i="1"/>
  <c r="BA106" i="1"/>
  <c r="AL106" i="1"/>
  <c r="AR106" i="1" s="1"/>
  <c r="K107" i="2"/>
  <c r="Q108" i="2" s="1"/>
  <c r="BG106" i="1" l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S54" i="1" s="1"/>
  <c r="Q47" i="1"/>
  <c r="Q48" i="1" s="1"/>
  <c r="Q40" i="1"/>
  <c r="Q33" i="1"/>
  <c r="BE89" i="1"/>
  <c r="BA89" i="1"/>
  <c r="AL89" i="1"/>
  <c r="AR89" i="1" s="1"/>
  <c r="AG89" i="1"/>
  <c r="AI96" i="1" s="1"/>
  <c r="Q89" i="1"/>
  <c r="S82" i="1" l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BK89" i="1" s="1"/>
  <c r="BM89" i="1" s="1"/>
  <c r="AL83" i="1"/>
  <c r="AR83" i="1" s="1"/>
  <c r="S84" i="2"/>
  <c r="K84" i="2"/>
  <c r="F181" i="3"/>
  <c r="F184" i="3" s="1"/>
  <c r="S83" i="2"/>
  <c r="Q85" i="2" l="1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206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M82" i="1"/>
  <c r="BK193" i="1"/>
  <c r="BG76" i="1"/>
  <c r="U77" i="2"/>
  <c r="S76" i="2"/>
  <c r="BE75" i="1" l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D206" i="1"/>
  <c r="I60" i="3"/>
  <c r="AH153" i="1" l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BM75" i="1" s="1"/>
  <c r="AL69" i="1"/>
  <c r="AR69" i="1" s="1"/>
  <c r="Q71" i="2" l="1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AG83" i="1"/>
  <c r="S68" i="1"/>
  <c r="S75" i="1"/>
  <c r="Q69" i="2"/>
  <c r="AR67" i="1"/>
  <c r="U68" i="2"/>
  <c r="BG67" i="1"/>
  <c r="AG85" i="1" l="1"/>
  <c r="AP206" i="1"/>
  <c r="AV206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171" i="3" l="1"/>
  <c r="I168" i="3"/>
  <c r="L168" i="3" s="1"/>
  <c r="I78" i="3"/>
  <c r="I80" i="3" s="1"/>
  <c r="I77" i="3"/>
  <c r="BE64" i="1"/>
  <c r="BA64" i="1"/>
  <c r="AL64" i="1"/>
  <c r="AR64" i="1" s="1"/>
  <c r="K65" i="2"/>
  <c r="Y19" i="3"/>
  <c r="Q66" i="2" l="1"/>
  <c r="M66" i="2"/>
  <c r="L171" i="3"/>
  <c r="I79" i="3"/>
  <c r="I81" i="3" s="1"/>
  <c r="I82" i="3" s="1"/>
  <c r="BG64" i="1"/>
  <c r="U65" i="2"/>
  <c r="S64" i="2"/>
  <c r="N81" i="3" l="1"/>
  <c r="N82" i="3" s="1"/>
  <c r="I170" i="3"/>
  <c r="L170" i="3" s="1"/>
  <c r="K64" i="2"/>
  <c r="BE63" i="1"/>
  <c r="BA63" i="1"/>
  <c r="AL63" i="1"/>
  <c r="AR63" i="1" s="1"/>
  <c r="Y18" i="3"/>
  <c r="Q65" i="2" l="1"/>
  <c r="M65" i="2"/>
  <c r="I172" i="3"/>
  <c r="U64" i="2"/>
  <c r="BG63" i="1"/>
  <c r="L161" i="3" l="1"/>
  <c r="L172" i="3"/>
  <c r="L160" i="3"/>
  <c r="S63" i="2"/>
  <c r="BE62" i="1"/>
  <c r="BA62" i="1"/>
  <c r="BK68" i="1" s="1"/>
  <c r="BM68" i="1" s="1"/>
  <c r="AL62" i="1"/>
  <c r="AR62" i="1" s="1"/>
  <c r="K63" i="2"/>
  <c r="Y17" i="3"/>
  <c r="Q64" i="2" l="1"/>
  <c r="M64" i="2"/>
  <c r="BG62" i="1"/>
  <c r="U63" i="2"/>
  <c r="L55" i="7"/>
  <c r="L56" i="7" s="1"/>
  <c r="L57" i="7" s="1"/>
  <c r="L58" i="7" s="1"/>
  <c r="L59" i="7" s="1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D55" i="7"/>
  <c r="D56" i="7" s="1"/>
  <c r="D57" i="7" s="1"/>
  <c r="D58" i="7" s="1"/>
  <c r="D59" i="7" s="1"/>
  <c r="D60" i="7" s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L53" i="7"/>
  <c r="K56" i="2"/>
  <c r="Q57" i="2" s="1"/>
  <c r="BE55" i="1"/>
  <c r="BA55" i="1"/>
  <c r="BK61" i="1" s="1"/>
  <c r="BM61" i="1" s="1"/>
  <c r="AL55" i="1"/>
  <c r="AR55" i="1" s="1"/>
  <c r="U94" i="3" l="1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L52" i="7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L51" i="7"/>
  <c r="K54" i="2"/>
  <c r="BE53" i="1"/>
  <c r="BA53" i="1"/>
  <c r="AL53" i="1"/>
  <c r="AR53" i="1" s="1"/>
  <c r="F73" i="7"/>
  <c r="F71" i="7"/>
  <c r="S53" i="2"/>
  <c r="L50" i="7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208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U152" i="3" s="1"/>
  <c r="AD29" i="2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G35" i="2"/>
  <c r="G34" i="2"/>
  <c r="G33" i="2"/>
  <c r="G32" i="2"/>
  <c r="K32" i="2" s="1"/>
  <c r="G31" i="2"/>
  <c r="K31" i="2" s="1"/>
  <c r="K52" i="2"/>
  <c r="K50" i="2"/>
  <c r="K49" i="2"/>
  <c r="K46" i="2"/>
  <c r="K43" i="2"/>
  <c r="K42" i="2"/>
  <c r="K41" i="2"/>
  <c r="K39" i="2"/>
  <c r="K35" i="2"/>
  <c r="K34" i="2"/>
  <c r="K33" i="2"/>
  <c r="G30" i="2"/>
  <c r="K30" i="2" s="1"/>
  <c r="I24" i="3"/>
  <c r="I26" i="3" s="1"/>
  <c r="BW11" i="1"/>
  <c r="BW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Q33" i="2" l="1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C154" i="2" l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C167" i="2" l="1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C175" i="2" l="1"/>
  <c r="C176" i="2" s="1"/>
  <c r="C177" i="2" s="1"/>
  <c r="C178" i="2" s="1"/>
  <c r="C179" i="2" s="1"/>
  <c r="C180" i="2" s="1"/>
  <c r="C181" i="2" s="1"/>
  <c r="C182" i="2" s="1"/>
  <c r="C194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W135" i="2" l="1"/>
  <c r="W136" i="2" s="1"/>
  <c r="W137" i="2" s="1"/>
  <c r="W138" i="2" s="1"/>
  <c r="BW17" i="1"/>
  <c r="AX16" i="1"/>
  <c r="BG49" i="1"/>
  <c r="W139" i="2" l="1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248" i="1"/>
  <c r="B251" i="1"/>
  <c r="W147" i="2" l="1"/>
  <c r="W148" i="2" s="1"/>
  <c r="BM54" i="1"/>
  <c r="BK199" i="1" s="1"/>
  <c r="BK194" i="1"/>
  <c r="BK196" i="1" s="1"/>
  <c r="BW19" i="1"/>
  <c r="AX18" i="1"/>
  <c r="BG48" i="1"/>
  <c r="BE47" i="1"/>
  <c r="BA47" i="1"/>
  <c r="AL47" i="1"/>
  <c r="AR47" i="1" s="1"/>
  <c r="W149" i="2" l="1"/>
  <c r="BK201" i="1"/>
  <c r="BK198" i="1"/>
  <c r="BW20" i="1"/>
  <c r="AX19" i="1"/>
  <c r="BG47" i="1"/>
  <c r="BE46" i="1"/>
  <c r="BA46" i="1"/>
  <c r="AL46" i="1"/>
  <c r="AR46" i="1" s="1"/>
  <c r="W150" i="2" l="1"/>
  <c r="W151" i="2" s="1"/>
  <c r="BW21" i="1"/>
  <c r="AX20" i="1"/>
  <c r="BG46" i="1"/>
  <c r="BE45" i="1"/>
  <c r="BA45" i="1"/>
  <c r="AL45" i="1"/>
  <c r="AR45" i="1" s="1"/>
  <c r="W152" i="2" l="1"/>
  <c r="W153" i="2" s="1"/>
  <c r="BW22" i="1"/>
  <c r="AX21" i="1"/>
  <c r="BG45" i="1"/>
  <c r="W154" i="2" l="1"/>
  <c r="W155" i="2" s="1"/>
  <c r="BW23" i="1"/>
  <c r="AX22" i="1"/>
  <c r="BE44" i="1"/>
  <c r="BA44" i="1"/>
  <c r="AL44" i="1"/>
  <c r="AR44" i="1" s="1"/>
  <c r="W156" i="2" l="1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W162" i="2" l="1"/>
  <c r="W163" i="2" s="1"/>
  <c r="W164" i="2" s="1"/>
  <c r="BW25" i="1"/>
  <c r="AX24" i="1"/>
  <c r="BE43" i="1"/>
  <c r="BG43" i="1" s="1"/>
  <c r="W165" i="2" l="1"/>
  <c r="W166" i="2" s="1"/>
  <c r="BW26" i="1"/>
  <c r="AX25" i="1"/>
  <c r="BE42" i="1"/>
  <c r="BA42" i="1"/>
  <c r="AL42" i="1"/>
  <c r="AR42" i="1" s="1"/>
  <c r="W167" i="2" l="1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W194" i="2" s="1"/>
  <c r="BW27" i="1"/>
  <c r="AX26" i="1"/>
  <c r="BG42" i="1"/>
  <c r="BW28" i="1" l="1"/>
  <c r="AX27" i="1"/>
  <c r="BE41" i="1"/>
  <c r="BA41" i="1"/>
  <c r="BK47" i="1" s="1"/>
  <c r="BM47" i="1" s="1"/>
  <c r="AL41" i="1"/>
  <c r="AR41" i="1" s="1"/>
  <c r="BW29" i="1" l="1"/>
  <c r="AX28" i="1"/>
  <c r="BG41" i="1"/>
  <c r="BW30" i="1" l="1"/>
  <c r="AX29" i="1"/>
  <c r="BE40" i="1"/>
  <c r="BA40" i="1"/>
  <c r="AL40" i="1"/>
  <c r="AR40" i="1" s="1"/>
  <c r="BE39" i="1"/>
  <c r="BA39" i="1"/>
  <c r="AL39" i="1"/>
  <c r="AR39" i="1" s="1"/>
  <c r="BW31" i="1" l="1"/>
  <c r="AX30" i="1"/>
  <c r="BG40" i="1"/>
  <c r="BW32" i="1" l="1"/>
  <c r="AX31" i="1"/>
  <c r="BE38" i="1"/>
  <c r="BA38" i="1"/>
  <c r="AL38" i="1"/>
  <c r="AR38" i="1" s="1"/>
  <c r="BW33" i="1" l="1"/>
  <c r="AX32" i="1"/>
  <c r="BE37" i="1"/>
  <c r="BA37" i="1"/>
  <c r="AL37" i="1"/>
  <c r="AR37" i="1" s="1"/>
  <c r="BE36" i="1"/>
  <c r="BA36" i="1"/>
  <c r="AL36" i="1"/>
  <c r="AR36" i="1" s="1"/>
  <c r="BW34" i="1" l="1"/>
  <c r="AX33" i="1"/>
  <c r="BE35" i="1"/>
  <c r="BA35" i="1"/>
  <c r="AL35" i="1"/>
  <c r="AR35" i="1" s="1"/>
  <c r="BW35" i="1" l="1"/>
  <c r="AX34" i="1"/>
  <c r="BE34" i="1"/>
  <c r="BA34" i="1"/>
  <c r="BK40" i="1" s="1"/>
  <c r="BM40" i="1" s="1"/>
  <c r="AL34" i="1"/>
  <c r="AR34" i="1" s="1"/>
  <c r="BW36" i="1" l="1"/>
  <c r="AX35" i="1"/>
  <c r="BE33" i="1"/>
  <c r="BA33" i="1"/>
  <c r="AL33" i="1"/>
  <c r="AR33" i="1" s="1"/>
  <c r="BE32" i="1"/>
  <c r="BA32" i="1"/>
  <c r="AL32" i="1"/>
  <c r="AR32" i="1" s="1"/>
  <c r="BW37" i="1" l="1"/>
  <c r="AX36" i="1"/>
  <c r="BE31" i="1"/>
  <c r="BA31" i="1"/>
  <c r="AL31" i="1"/>
  <c r="AR31" i="1" s="1"/>
  <c r="BW38" i="1" l="1"/>
  <c r="AX37" i="1"/>
  <c r="W29" i="1"/>
  <c r="AG33" i="1" s="1"/>
  <c r="AI40" i="1" l="1"/>
  <c r="BW39" i="1"/>
  <c r="AX38" i="1"/>
  <c r="BE30" i="1"/>
  <c r="BA30" i="1"/>
  <c r="AL30" i="1"/>
  <c r="AR30" i="1" s="1"/>
  <c r="BA29" i="1"/>
  <c r="BE29" i="1"/>
  <c r="AL29" i="1"/>
  <c r="AR29" i="1" s="1"/>
  <c r="BW40" i="1" l="1"/>
  <c r="BN40" i="1" s="1"/>
  <c r="AX39" i="1"/>
  <c r="BE28" i="1"/>
  <c r="BA28" i="1"/>
  <c r="AL28" i="1"/>
  <c r="AR28" i="1" s="1"/>
  <c r="BW41" i="1" l="1"/>
  <c r="BN41" i="1" s="1"/>
  <c r="AX40" i="1"/>
  <c r="BE27" i="1"/>
  <c r="AL27" i="1"/>
  <c r="AR27" i="1" s="1"/>
  <c r="BE26" i="1"/>
  <c r="AL26" i="1"/>
  <c r="AR26" i="1" s="1"/>
  <c r="BW42" i="1" l="1"/>
  <c r="BN42" i="1" s="1"/>
  <c r="AX41" i="1"/>
  <c r="W23" i="1"/>
  <c r="W22" i="1"/>
  <c r="AH51" i="1" s="1"/>
  <c r="W21" i="1"/>
  <c r="W20" i="1"/>
  <c r="W17" i="1"/>
  <c r="W13" i="1"/>
  <c r="W12" i="1"/>
  <c r="W10" i="1"/>
  <c r="AG26" i="1" l="1"/>
  <c r="AI33" i="1" s="1"/>
  <c r="AR205" i="1"/>
  <c r="BW43" i="1"/>
  <c r="BN43" i="1" s="1"/>
  <c r="AX42" i="1"/>
  <c r="BE24" i="1"/>
  <c r="BC24" i="1"/>
  <c r="AR210" i="1" l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AR212" i="1" l="1"/>
  <c r="AV212" i="1" s="1"/>
  <c r="BW45" i="1"/>
  <c r="BN45" i="1" s="1"/>
  <c r="AX44" i="1"/>
  <c r="BP25" i="1"/>
  <c r="BR24" i="1"/>
  <c r="AL24" i="1"/>
  <c r="AR24" i="1" s="1"/>
  <c r="D23" i="1"/>
  <c r="AL23" i="1"/>
  <c r="AR23" i="1" s="1"/>
  <c r="Q26" i="1" l="1"/>
  <c r="S33" i="1" s="1"/>
  <c r="AH50" i="1"/>
  <c r="BW46" i="1"/>
  <c r="BN46" i="1" s="1"/>
  <c r="AX45" i="1"/>
  <c r="BR25" i="1"/>
  <c r="BP26" i="1"/>
  <c r="AP205" i="1" l="1"/>
  <c r="AV205" i="1" s="1"/>
  <c r="AH49" i="1"/>
  <c r="BW47" i="1"/>
  <c r="BN47" i="1" s="1"/>
  <c r="AX46" i="1"/>
  <c r="BR26" i="1"/>
  <c r="BP27" i="1"/>
  <c r="AL22" i="1"/>
  <c r="AR22" i="1" s="1"/>
  <c r="BW48" i="1" l="1"/>
  <c r="BN48" i="1" s="1"/>
  <c r="AX47" i="1"/>
  <c r="BR27" i="1"/>
  <c r="BP28" i="1"/>
  <c r="BW49" i="1" l="1"/>
  <c r="BN49" i="1" s="1"/>
  <c r="AX48" i="1"/>
  <c r="BR28" i="1"/>
  <c r="BP29" i="1"/>
  <c r="AL21" i="1"/>
  <c r="AR21" i="1" s="1"/>
  <c r="BW50" i="1" l="1"/>
  <c r="BN50" i="1" s="1"/>
  <c r="AX49" i="1"/>
  <c r="BR29" i="1"/>
  <c r="BP30" i="1"/>
  <c r="AL20" i="1"/>
  <c r="AR20" i="1" s="1"/>
  <c r="AL19" i="1"/>
  <c r="AR19" i="1" s="1"/>
  <c r="AL18" i="1"/>
  <c r="AR18" i="1" s="1"/>
  <c r="BW51" i="1" l="1"/>
  <c r="BN51" i="1" s="1"/>
  <c r="AX50" i="1"/>
  <c r="BR30" i="1"/>
  <c r="BP31" i="1"/>
  <c r="AL17" i="1"/>
  <c r="BW52" i="1" l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9" i="1"/>
  <c r="AA10" i="1" s="1"/>
  <c r="AE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B156" i="1" l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B163" i="1" l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B169" i="1" l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B188" i="1" l="1"/>
  <c r="B174" i="1"/>
  <c r="B175" i="1" s="1"/>
  <c r="B176" i="1" s="1"/>
  <c r="B177" i="1" s="1"/>
  <c r="B178" i="1" s="1"/>
  <c r="B179" i="1" s="1"/>
  <c r="B180" i="1" s="1"/>
  <c r="B181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AV15" i="1" l="1"/>
  <c r="BW59" i="1"/>
  <c r="BN59" i="1" s="1"/>
  <c r="AX58" i="1"/>
  <c r="J16" i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O17" i="1" s="1"/>
  <c r="AC15" i="1"/>
  <c r="BR38" i="1"/>
  <c r="BP39" i="1"/>
  <c r="AA17" i="1"/>
  <c r="AE17" i="1" s="1"/>
  <c r="BW60" i="1" l="1"/>
  <c r="AX59" i="1"/>
  <c r="AC16" i="1"/>
  <c r="AV16" i="1"/>
  <c r="J17" i="1"/>
  <c r="F14" i="7"/>
  <c r="O16" i="1"/>
  <c r="BR39" i="1"/>
  <c r="BP40" i="1"/>
  <c r="J18" i="1"/>
  <c r="H18" i="1"/>
  <c r="O18" i="1" s="1"/>
  <c r="AA18" i="1"/>
  <c r="AE18" i="1" s="1"/>
  <c r="AC17" i="1"/>
  <c r="AV17" i="1"/>
  <c r="BW61" i="1" l="1"/>
  <c r="BW62" i="1" s="1"/>
  <c r="BN60" i="1"/>
  <c r="AX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R40" i="1"/>
  <c r="BP41" i="1"/>
  <c r="AA19" i="1"/>
  <c r="AE19" i="1" s="1"/>
  <c r="AC18" i="1"/>
  <c r="AV18" i="1"/>
  <c r="J19" i="1"/>
  <c r="H19" i="1"/>
  <c r="O19" i="1" s="1"/>
  <c r="BW63" i="1" l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AX64" i="1" l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W66" i="1" l="1"/>
  <c r="BW67" i="1" s="1"/>
  <c r="AX65" i="1"/>
  <c r="BN65" i="1"/>
  <c r="AA22" i="1"/>
  <c r="AE22" i="1" s="1"/>
  <c r="AC21" i="1"/>
  <c r="BR43" i="1"/>
  <c r="BP44" i="1"/>
  <c r="AA23" i="1"/>
  <c r="J22" i="1"/>
  <c r="H22" i="1"/>
  <c r="O22" i="1" s="1"/>
  <c r="AV21" i="1"/>
  <c r="AE23" i="1" l="1"/>
  <c r="AA24" i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BW69" i="1" l="1"/>
  <c r="BN68" i="1"/>
  <c r="AX68" i="1"/>
  <c r="AA25" i="1"/>
  <c r="AE25" i="1" s="1"/>
  <c r="AE24" i="1"/>
  <c r="H24" i="1"/>
  <c r="O24" i="1" s="1"/>
  <c r="BR45" i="1"/>
  <c r="BP46" i="1"/>
  <c r="J24" i="1"/>
  <c r="AC23" i="1"/>
  <c r="AV23" i="1"/>
  <c r="BW70" i="1" l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W72" i="1" l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W73" i="1" l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W74" i="1" l="1"/>
  <c r="AX73" i="1"/>
  <c r="BN73" i="1"/>
  <c r="AA30" i="1"/>
  <c r="AE30" i="1" s="1"/>
  <c r="BR49" i="1"/>
  <c r="BP50" i="1"/>
  <c r="J28" i="1"/>
  <c r="H28" i="1"/>
  <c r="O28" i="1" s="1"/>
  <c r="AV27" i="1"/>
  <c r="AC27" i="1"/>
  <c r="BW75" i="1" l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W77" i="1" l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AA33" i="1" l="1"/>
  <c r="AE33" i="1" s="1"/>
  <c r="BW78" i="1"/>
  <c r="BW79" i="1" s="1"/>
  <c r="AX77" i="1"/>
  <c r="BN77" i="1"/>
  <c r="BR52" i="1"/>
  <c r="BP53" i="1"/>
  <c r="AA34" i="1"/>
  <c r="AA35" i="1" s="1"/>
  <c r="H31" i="1"/>
  <c r="J31" i="1"/>
  <c r="AV30" i="1"/>
  <c r="AC30" i="1"/>
  <c r="AE34" i="1" l="1"/>
  <c r="BW80" i="1"/>
  <c r="BN79" i="1"/>
  <c r="AX79" i="1"/>
  <c r="BN78" i="1"/>
  <c r="AX78" i="1"/>
  <c r="J32" i="1"/>
  <c r="O31" i="1"/>
  <c r="BR53" i="1"/>
  <c r="BP54" i="1"/>
  <c r="H32" i="1"/>
  <c r="AC31" i="1"/>
  <c r="AV31" i="1"/>
  <c r="AE35" i="1"/>
  <c r="BW81" i="1" l="1"/>
  <c r="BN80" i="1"/>
  <c r="AX80" i="1"/>
  <c r="J33" i="1"/>
  <c r="O32" i="1"/>
  <c r="H33" i="1"/>
  <c r="BR54" i="1"/>
  <c r="BP55" i="1"/>
  <c r="AV32" i="1"/>
  <c r="AC32" i="1"/>
  <c r="AA36" i="1"/>
  <c r="AE36" i="1" s="1"/>
  <c r="BW82" i="1" l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O34" i="1" l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J36" i="1" l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W86" i="1" l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W88" i="1" l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W89" i="1" l="1"/>
  <c r="AX88" i="1"/>
  <c r="BN88" i="1"/>
  <c r="AC38" i="1"/>
  <c r="AV38" i="1"/>
  <c r="J39" i="1"/>
  <c r="H39" i="1"/>
  <c r="O39" i="1" s="1"/>
  <c r="BR60" i="1"/>
  <c r="BP61" i="1"/>
  <c r="AA42" i="1"/>
  <c r="AE42" i="1" s="1"/>
  <c r="BW90" i="1" l="1"/>
  <c r="BW91" i="1" s="1"/>
  <c r="AX89" i="1"/>
  <c r="BN89" i="1"/>
  <c r="H40" i="1"/>
  <c r="J41" i="1" s="1"/>
  <c r="AC39" i="1"/>
  <c r="AV39" i="1"/>
  <c r="J40" i="1"/>
  <c r="O40" i="1"/>
  <c r="BR61" i="1"/>
  <c r="BP62" i="1"/>
  <c r="AA43" i="1"/>
  <c r="AE43" i="1" s="1"/>
  <c r="AC40" i="1" l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J42" i="1"/>
  <c r="H42" i="1"/>
  <c r="O42" i="1" s="1"/>
  <c r="AV41" i="1"/>
  <c r="AC41" i="1"/>
  <c r="BW93" i="1" l="1"/>
  <c r="BN92" i="1"/>
  <c r="AX92" i="1"/>
  <c r="BP64" i="1"/>
  <c r="BR63" i="1"/>
  <c r="AA45" i="1"/>
  <c r="AE45" i="1" s="1"/>
  <c r="J43" i="1"/>
  <c r="H43" i="1"/>
  <c r="O43" i="1" s="1"/>
  <c r="AV42" i="1"/>
  <c r="AC42" i="1"/>
  <c r="BW94" i="1" l="1"/>
  <c r="BN93" i="1"/>
  <c r="AX93" i="1"/>
  <c r="BP65" i="1"/>
  <c r="BR64" i="1"/>
  <c r="AA46" i="1"/>
  <c r="AE46" i="1" s="1"/>
  <c r="J44" i="1"/>
  <c r="H44" i="1"/>
  <c r="AV43" i="1"/>
  <c r="AC43" i="1"/>
  <c r="BW95" i="1" l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O45" i="1" l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N97" i="1" l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W99" i="1" l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W101" i="1" l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W102" i="1" l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W103" i="1" l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W104" i="1" l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J202" i="1" s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172" i="3"/>
  <c r="Y173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172" i="3"/>
  <c r="W173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W188" i="1" l="1"/>
  <c r="BN181" i="1"/>
  <c r="AX181" i="1"/>
  <c r="BP165" i="1"/>
  <c r="BR164" i="1"/>
  <c r="AE142" i="1"/>
  <c r="AA143" i="1"/>
  <c r="AV117" i="1"/>
  <c r="H118" i="1"/>
  <c r="J118" i="1"/>
  <c r="AC117" i="1"/>
  <c r="O117" i="1"/>
  <c r="BR165" i="1" l="1"/>
  <c r="BP166" i="1"/>
  <c r="AE143" i="1"/>
  <c r="AA144" i="1"/>
  <c r="H119" i="1"/>
  <c r="J119" i="1"/>
  <c r="O118" i="1"/>
  <c r="AC118" i="1"/>
  <c r="AV118" i="1"/>
  <c r="BR166" i="1" l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R169" i="1" l="1"/>
  <c r="BP170" i="1"/>
  <c r="BR168" i="1"/>
  <c r="BR167" i="1"/>
  <c r="AA147" i="1"/>
  <c r="AE146" i="1"/>
  <c r="AE145" i="1"/>
  <c r="O120" i="1"/>
  <c r="J121" i="1"/>
  <c r="H121" i="1"/>
  <c r="AV120" i="1"/>
  <c r="AC120" i="1"/>
  <c r="BR170" i="1" l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P172" i="1" l="1"/>
  <c r="BR171" i="1"/>
  <c r="AE148" i="1"/>
  <c r="AA149" i="1"/>
  <c r="AA150" i="1" s="1"/>
  <c r="AA151" i="1" s="1"/>
  <c r="AV122" i="1"/>
  <c r="J123" i="1"/>
  <c r="H123" i="1"/>
  <c r="O122" i="1"/>
  <c r="AC122" i="1"/>
  <c r="BR172" i="1" l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R174" i="1" l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R175" i="1" l="1"/>
  <c r="BP176" i="1"/>
  <c r="AA157" i="1"/>
  <c r="AE156" i="1"/>
  <c r="AE155" i="1"/>
  <c r="H126" i="1"/>
  <c r="J126" i="1"/>
  <c r="AV125" i="1"/>
  <c r="O125" i="1"/>
  <c r="AC125" i="1"/>
  <c r="BP177" i="1" l="1"/>
  <c r="BR176" i="1"/>
  <c r="AE157" i="1"/>
  <c r="AA158" i="1"/>
  <c r="AC126" i="1"/>
  <c r="J127" i="1"/>
  <c r="H127" i="1"/>
  <c r="O126" i="1"/>
  <c r="AV126" i="1"/>
  <c r="J203" i="1"/>
  <c r="J204" i="1" s="1"/>
  <c r="BR177" i="1" l="1"/>
  <c r="BP178" i="1"/>
  <c r="AA159" i="1"/>
  <c r="AE158" i="1"/>
  <c r="AV127" i="1"/>
  <c r="H128" i="1"/>
  <c r="J128" i="1"/>
  <c r="O127" i="1"/>
  <c r="AC127" i="1"/>
  <c r="BR178" i="1" l="1"/>
  <c r="BP179" i="1"/>
  <c r="AE159" i="1"/>
  <c r="AA160" i="1"/>
  <c r="J129" i="1"/>
  <c r="H129" i="1"/>
  <c r="AC128" i="1"/>
  <c r="O128" i="1"/>
  <c r="AV128" i="1"/>
  <c r="AA81" i="3"/>
  <c r="AA82" i="3"/>
  <c r="AA80" i="3"/>
  <c r="BR179" i="1" l="1"/>
  <c r="BP180" i="1"/>
  <c r="AA161" i="1"/>
  <c r="AE160" i="1"/>
  <c r="J130" i="1"/>
  <c r="H130" i="1"/>
  <c r="O129" i="1"/>
  <c r="AV129" i="1"/>
  <c r="AC129" i="1"/>
  <c r="BR180" i="1" l="1"/>
  <c r="BP181" i="1"/>
  <c r="BP182" i="1" s="1"/>
  <c r="AE161" i="1"/>
  <c r="AA162" i="1"/>
  <c r="AA163" i="1" s="1"/>
  <c r="AV130" i="1"/>
  <c r="J131" i="1"/>
  <c r="H131" i="1"/>
  <c r="O130" i="1"/>
  <c r="AC130" i="1"/>
  <c r="BP183" i="1" l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P184" i="1" l="1"/>
  <c r="BR183" i="1"/>
  <c r="AA165" i="1"/>
  <c r="AE164" i="1"/>
  <c r="J133" i="1"/>
  <c r="H133" i="1"/>
  <c r="O132" i="1"/>
  <c r="AV132" i="1"/>
  <c r="AC132" i="1"/>
  <c r="BR184" i="1" l="1"/>
  <c r="AE165" i="1"/>
  <c r="AA166" i="1"/>
  <c r="AV133" i="1"/>
  <c r="H134" i="1"/>
  <c r="J134" i="1"/>
  <c r="O133" i="1"/>
  <c r="AC133" i="1"/>
  <c r="AE166" i="1" l="1"/>
  <c r="AA167" i="1"/>
  <c r="AA168" i="1" s="1"/>
  <c r="AA169" i="1" s="1"/>
  <c r="AV134" i="1"/>
  <c r="J135" i="1"/>
  <c r="H135" i="1"/>
  <c r="O134" i="1"/>
  <c r="AC134" i="1"/>
  <c r="AE169" i="1" l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AE170" i="1" l="1"/>
  <c r="AA171" i="1"/>
  <c r="O136" i="1"/>
  <c r="J137" i="1"/>
  <c r="H137" i="1"/>
  <c r="AV136" i="1"/>
  <c r="AC136" i="1"/>
  <c r="AA172" i="1" l="1"/>
  <c r="AE171" i="1"/>
  <c r="AV137" i="1"/>
  <c r="J138" i="1"/>
  <c r="H138" i="1"/>
  <c r="O137" i="1"/>
  <c r="AC137" i="1"/>
  <c r="AE172" i="1" l="1"/>
  <c r="AA173" i="1"/>
  <c r="AA174" i="1" s="1"/>
  <c r="J139" i="1"/>
  <c r="H139" i="1"/>
  <c r="AV138" i="1"/>
  <c r="O138" i="1"/>
  <c r="AC138" i="1"/>
  <c r="AA175" i="1" l="1"/>
  <c r="AE174" i="1"/>
  <c r="AE173" i="1"/>
  <c r="J140" i="1"/>
  <c r="H140" i="1"/>
  <c r="AV139" i="1"/>
  <c r="O139" i="1"/>
  <c r="AC139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AA176" i="1" l="1"/>
  <c r="AE175" i="1"/>
  <c r="O140" i="1"/>
  <c r="H141" i="1"/>
  <c r="J141" i="1"/>
  <c r="AV140" i="1"/>
  <c r="AC140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AE176" i="1" l="1"/>
  <c r="AA177" i="1"/>
  <c r="O141" i="1"/>
  <c r="J142" i="1"/>
  <c r="H142" i="1"/>
  <c r="AV141" i="1"/>
  <c r="AC141" i="1"/>
  <c r="AA98" i="3"/>
  <c r="AA99" i="3"/>
  <c r="AA94" i="3"/>
  <c r="AA95" i="3"/>
  <c r="AA93" i="3"/>
  <c r="AE177" i="1" l="1"/>
  <c r="AA178" i="1"/>
  <c r="H143" i="1"/>
  <c r="J143" i="1"/>
  <c r="O142" i="1"/>
  <c r="AV142" i="1"/>
  <c r="AC142" i="1"/>
  <c r="AA96" i="3"/>
  <c r="AA97" i="3"/>
  <c r="AE178" i="1" l="1"/>
  <c r="AA179" i="1"/>
  <c r="O143" i="1"/>
  <c r="J144" i="1"/>
  <c r="H144" i="1"/>
  <c r="AV143" i="1"/>
  <c r="AC143" i="1"/>
  <c r="AA180" i="1" l="1"/>
  <c r="AE179" i="1"/>
  <c r="O144" i="1"/>
  <c r="H145" i="1"/>
  <c r="J145" i="1"/>
  <c r="AV144" i="1"/>
  <c r="AC144" i="1"/>
  <c r="AE180" i="1" l="1"/>
  <c r="AA181" i="1"/>
  <c r="AA182" i="1" s="1"/>
  <c r="J146" i="1"/>
  <c r="H146" i="1"/>
  <c r="AV145" i="1"/>
  <c r="O145" i="1"/>
  <c r="AC145" i="1"/>
  <c r="AE182" i="1" l="1"/>
  <c r="AA183" i="1"/>
  <c r="AE181" i="1"/>
  <c r="J147" i="1"/>
  <c r="H147" i="1"/>
  <c r="O146" i="1"/>
  <c r="AV146" i="1"/>
  <c r="AC146" i="1"/>
  <c r="AA184" i="1" l="1"/>
  <c r="AE183" i="1"/>
  <c r="AV147" i="1"/>
  <c r="H148" i="1"/>
  <c r="J148" i="1"/>
  <c r="O147" i="1"/>
  <c r="AC147" i="1"/>
  <c r="AE184" i="1" l="1"/>
  <c r="O148" i="1"/>
  <c r="J149" i="1"/>
  <c r="H149" i="1"/>
  <c r="AV148" i="1"/>
  <c r="AC148" i="1"/>
  <c r="AA103" i="3"/>
  <c r="AA100" i="3"/>
  <c r="AJ21" i="2" l="1"/>
  <c r="I21" i="3"/>
  <c r="I35" i="3" s="1"/>
  <c r="AD49" i="2"/>
  <c r="AD51" i="2" s="1"/>
  <c r="AD53" i="2" s="1"/>
  <c r="AD55" i="2" s="1"/>
  <c r="AD57" i="2" s="1"/>
  <c r="H150" i="1"/>
  <c r="J150" i="1"/>
  <c r="O149" i="1"/>
  <c r="AV149" i="1"/>
  <c r="AC149" i="1"/>
  <c r="AA101" i="3"/>
  <c r="AA102" i="3"/>
  <c r="J151" i="1" l="1"/>
  <c r="H151" i="1"/>
  <c r="O150" i="1"/>
  <c r="AV150" i="1"/>
  <c r="AC150" i="1"/>
  <c r="O151" i="1" l="1"/>
  <c r="AV151" i="1"/>
  <c r="J152" i="1"/>
  <c r="H152" i="1"/>
  <c r="AC151" i="1"/>
  <c r="J153" i="1" l="1"/>
  <c r="H153" i="1"/>
  <c r="O152" i="1"/>
  <c r="AV152" i="1"/>
  <c r="AC152" i="1"/>
  <c r="AA105" i="3"/>
  <c r="AA106" i="3"/>
  <c r="AA104" i="3"/>
  <c r="J154" i="1" l="1"/>
  <c r="H154" i="1"/>
  <c r="O153" i="1"/>
  <c r="AV153" i="1"/>
  <c r="AC153" i="1"/>
  <c r="AV154" i="1" l="1"/>
  <c r="J155" i="1"/>
  <c r="H155" i="1"/>
  <c r="O154" i="1"/>
  <c r="AC154" i="1"/>
  <c r="J156" i="1" l="1"/>
  <c r="H156" i="1"/>
  <c r="AV155" i="1"/>
  <c r="O155" i="1"/>
  <c r="AC155" i="1"/>
  <c r="AA108" i="3"/>
  <c r="AA109" i="3"/>
  <c r="AA107" i="3"/>
  <c r="AV156" i="1" l="1"/>
  <c r="J157" i="1"/>
  <c r="H157" i="1"/>
  <c r="O156" i="1"/>
  <c r="AC156" i="1"/>
  <c r="O157" i="1" l="1"/>
  <c r="J158" i="1"/>
  <c r="H158" i="1"/>
  <c r="AV157" i="1"/>
  <c r="AC157" i="1"/>
  <c r="AV158" i="1" l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AV159" i="1" l="1"/>
  <c r="J160" i="1"/>
  <c r="H160" i="1"/>
  <c r="O159" i="1"/>
  <c r="AC159" i="1"/>
  <c r="O160" i="1" l="1"/>
  <c r="H161" i="1"/>
  <c r="J161" i="1"/>
  <c r="AV160" i="1"/>
  <c r="AC160" i="1"/>
  <c r="O161" i="1" l="1"/>
  <c r="H162" i="1"/>
  <c r="J162" i="1"/>
  <c r="AV161" i="1"/>
  <c r="AC161" i="1"/>
  <c r="J163" i="1" l="1"/>
  <c r="H163" i="1"/>
  <c r="O162" i="1"/>
  <c r="AV162" i="1"/>
  <c r="AC162" i="1"/>
  <c r="O163" i="1" l="1"/>
  <c r="J164" i="1"/>
  <c r="H164" i="1"/>
  <c r="AV163" i="1"/>
  <c r="AC163" i="1"/>
  <c r="O164" i="1" l="1"/>
  <c r="H165" i="1"/>
  <c r="AV164" i="1"/>
  <c r="J165" i="1"/>
  <c r="AC164" i="1"/>
  <c r="O165" i="1" l="1"/>
  <c r="AV165" i="1"/>
  <c r="H166" i="1"/>
  <c r="J166" i="1"/>
  <c r="AC165" i="1"/>
  <c r="AA121" i="3"/>
  <c r="AA119" i="3"/>
  <c r="AA120" i="3"/>
  <c r="AA118" i="3"/>
  <c r="J167" i="1" l="1"/>
  <c r="O166" i="1"/>
  <c r="AV166" i="1"/>
  <c r="H167" i="1"/>
  <c r="AC166" i="1"/>
  <c r="H168" i="1" l="1"/>
  <c r="J168" i="1"/>
  <c r="O167" i="1"/>
  <c r="AV167" i="1"/>
  <c r="AC167" i="1"/>
  <c r="J169" i="1" l="1"/>
  <c r="H169" i="1"/>
  <c r="AV168" i="1"/>
  <c r="O168" i="1"/>
  <c r="AC168" i="1"/>
  <c r="O169" i="1" l="1"/>
  <c r="J170" i="1"/>
  <c r="H170" i="1"/>
  <c r="AV169" i="1"/>
  <c r="AC169" i="1"/>
  <c r="AV170" i="1" l="1"/>
  <c r="H171" i="1"/>
  <c r="J171" i="1"/>
  <c r="O170" i="1"/>
  <c r="AC170" i="1"/>
  <c r="AA127" i="3"/>
  <c r="AA128" i="3"/>
  <c r="AA125" i="3"/>
  <c r="AA126" i="3"/>
  <c r="AA123" i="3"/>
  <c r="AA124" i="3"/>
  <c r="AA122" i="3"/>
  <c r="O171" i="1" l="1"/>
  <c r="J172" i="1"/>
  <c r="H172" i="1"/>
  <c r="AV171" i="1"/>
  <c r="AC171" i="1"/>
  <c r="O172" i="1" l="1"/>
  <c r="J173" i="1"/>
  <c r="H173" i="1"/>
  <c r="AV172" i="1"/>
  <c r="AC172" i="1"/>
  <c r="J174" i="1" l="1"/>
  <c r="H174" i="1"/>
  <c r="I23" i="3" s="1"/>
  <c r="I25" i="3" s="1"/>
  <c r="I27" i="3" s="1"/>
  <c r="O173" i="1"/>
  <c r="AV173" i="1"/>
  <c r="AC173" i="1"/>
  <c r="N27" i="3" l="1"/>
  <c r="N28" i="3" s="1"/>
  <c r="I34" i="3"/>
  <c r="O174" i="1"/>
  <c r="J175" i="1"/>
  <c r="H175" i="1"/>
  <c r="AV174" i="1"/>
  <c r="AC174" i="1"/>
  <c r="AV175" i="1" l="1"/>
  <c r="J176" i="1"/>
  <c r="H176" i="1"/>
  <c r="O175" i="1"/>
  <c r="AC175" i="1"/>
  <c r="O176" i="1" l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V177" i="1" l="1"/>
  <c r="H178" i="1"/>
  <c r="J178" i="1"/>
  <c r="O177" i="1"/>
  <c r="AC177" i="1"/>
  <c r="AV178" i="1" l="1"/>
  <c r="J179" i="1"/>
  <c r="H179" i="1"/>
  <c r="O178" i="1"/>
  <c r="AC178" i="1"/>
  <c r="AV179" i="1" l="1"/>
  <c r="J180" i="1"/>
  <c r="H180" i="1"/>
  <c r="O179" i="1"/>
  <c r="AC179" i="1"/>
  <c r="AV180" i="1" l="1"/>
  <c r="J181" i="1"/>
  <c r="H181" i="1"/>
  <c r="O180" i="1"/>
  <c r="AC180" i="1"/>
  <c r="J182" i="1" l="1"/>
  <c r="H182" i="1"/>
  <c r="O181" i="1"/>
  <c r="AV181" i="1"/>
  <c r="AC181" i="1"/>
  <c r="AV182" i="1" l="1"/>
  <c r="J183" i="1"/>
  <c r="O182" i="1"/>
  <c r="H183" i="1"/>
  <c r="AC182" i="1"/>
  <c r="AC183" i="1" l="1"/>
  <c r="AV183" i="1"/>
  <c r="H184" i="1"/>
  <c r="J184" i="1"/>
  <c r="O183" i="1"/>
  <c r="AV184" i="1" l="1"/>
  <c r="O184" i="1"/>
  <c r="AC184" i="1"/>
  <c r="AA138" i="3"/>
  <c r="AA137" i="3"/>
  <c r="I32" i="3" l="1"/>
  <c r="AF21" i="2"/>
  <c r="I28" i="3" l="1"/>
  <c r="L32" i="3"/>
  <c r="L34" i="3"/>
  <c r="L35" i="3"/>
  <c r="I36" i="3"/>
  <c r="W142" i="3" s="1"/>
  <c r="AA142" i="3" s="1"/>
  <c r="AA140" i="3" l="1"/>
  <c r="AA141" i="3"/>
  <c r="L36" i="3"/>
  <c r="Y142" i="3" s="1"/>
  <c r="AA139" i="3"/>
  <c r="Y121" i="3" l="1"/>
  <c r="Y12" i="3"/>
</calcChain>
</file>

<file path=xl/sharedStrings.xml><?xml version="1.0" encoding="utf-8"?>
<sst xmlns="http://schemas.openxmlformats.org/spreadsheetml/2006/main" count="291" uniqueCount="166">
  <si>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</si>
  <si>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</si>
  <si>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</si>
  <si>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</si>
  <si>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</si>
  <si>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</si>
  <si>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</si>
  <si>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</si>
  <si>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</si>
  <si>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</si>
  <si>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</si>
  <si>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</si>
  <si>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</si>
  <si>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</si>
  <si>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</si>
  <si>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</si>
  <si>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</si>
  <si>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</si>
  <si>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</si>
  <si>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</si>
  <si>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</si>
  <si>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</si>
  <si>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</si>
  <si>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</si>
  <si>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</si>
  <si>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</si>
  <si>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</si>
  <si>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</si>
  <si>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</si>
  <si>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</si>
  <si>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</si>
  <si>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</si>
  <si>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</si>
  <si>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</si>
  <si>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</si>
  <si>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</si>
  <si>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</si>
  <si>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</si>
  <si>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</si>
  <si>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</si>
  <si>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</si>
  <si>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</si>
  <si>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</si>
  <si>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</si>
  <si>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</si>
  <si>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</si>
  <si>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</si>
  <si>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</si>
  <si>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</si>
  <si>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</si>
  <si>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</si>
  <si>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</si>
  <si>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</si>
  <si>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</si>
  <si>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</si>
  <si>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</si>
  <si>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</si>
  <si>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</si>
  <si>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</si>
  <si>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</si>
  <si>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</si>
  <si>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</si>
  <si>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</si>
  <si>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</si>
  <si>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</si>
  <si>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</si>
  <si>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</si>
  <si>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</si>
  <si>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</si>
  <si>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</si>
  <si>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</si>
  <si>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</si>
  <si>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</si>
  <si>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</si>
  <si>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</si>
  <si>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</si>
  <si>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</si>
  <si>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</si>
  <si>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</si>
  <si>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</si>
  <si>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</si>
  <si>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</si>
  <si>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</si>
  <si>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</si>
  <si>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</si>
  <si>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</si>
  <si>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</si>
  <si>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</si>
  <si>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</si>
  <si>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</si>
  <si>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</si>
  <si>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</si>
  <si>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</si>
  <si>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</si>
  <si>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</si>
  <si>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</si>
  <si>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</si>
  <si>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</si>
  <si>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</si>
  <si>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</si>
  <si>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</si>
  <si>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</si>
  <si>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</si>
  <si>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</si>
  <si>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</si>
  <si>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</si>
  <si>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</si>
  <si>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</si>
  <si>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</si>
  <si>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</si>
  <si>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</si>
  <si>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</si>
  <si>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</si>
  <si>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</si>
  <si>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</si>
  <si>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</si>
  <si>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</si>
  <si>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</si>
  <si>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</si>
  <si>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</si>
  <si>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</si>
  <si>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</si>
  <si>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</si>
  <si>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</si>
  <si>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</si>
  <si>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</si>
  <si>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</si>
  <si>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</si>
  <si>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</si>
  <si>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</si>
  <si>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</si>
  <si>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</si>
  <si>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</si>
  <si>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</si>
  <si>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</si>
  <si>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</si>
  <si>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</si>
  <si>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</si>
  <si>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</si>
  <si>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</si>
  <si>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</si>
  <si>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</si>
  <si>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</si>
  <si>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</si>
  <si>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</si>
  <si>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</si>
  <si>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</si>
  <si>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</si>
  <si>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</si>
  <si>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</si>
  <si>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</si>
  <si>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</si>
  <si>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</si>
  <si>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</si>
  <si>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</si>
  <si>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</si>
  <si>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</si>
  <si>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`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</si>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</sst>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0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0" fontId="0" fillId="23" borderId="0" xfId="0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3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3" borderId="0" xfId="2" applyNumberFormat="1" applyFont="1" applyFill="1" applyBorder="1" applyAlignment="1">
      <alignment horizontal="right"/>
    </xf>
    <xf numFmtId="164" fontId="0" fillId="17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3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4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5" borderId="0" xfId="0" applyFill="1"/>
    <xf numFmtId="0" fontId="0" fillId="20" borderId="0" xfId="0" applyFill="1"/>
    <xf numFmtId="43" fontId="0" fillId="24" borderId="0" xfId="1" applyFont="1" applyFill="1"/>
    <xf numFmtId="164" fontId="0" fillId="24" borderId="0" xfId="1" applyNumberFormat="1" applyFont="1" applyFill="1"/>
    <xf numFmtId="9" fontId="0" fillId="24" borderId="0" xfId="2" applyFont="1" applyFill="1"/>
    <xf numFmtId="165" fontId="0" fillId="24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4" borderId="0" xfId="1" applyNumberFormat="1" applyFont="1" applyFill="1" applyBorder="1"/>
    <xf numFmtId="164" fontId="2" fillId="24" borderId="0" xfId="1" applyNumberFormat="1" applyFont="1" applyFill="1" applyBorder="1" applyAlignment="1"/>
    <xf numFmtId="174" fontId="0" fillId="24" borderId="0" xfId="1" applyNumberFormat="1" applyFont="1" applyFill="1"/>
    <xf numFmtId="174" fontId="0" fillId="24" borderId="0" xfId="0" applyNumberFormat="1" applyFill="1"/>
    <xf numFmtId="14" fontId="0" fillId="24" borderId="0" xfId="1" applyNumberFormat="1" applyFont="1" applyFill="1"/>
    <xf numFmtId="164" fontId="0" fillId="24" borderId="0" xfId="1" applyNumberFormat="1" applyFont="1" applyFill="1" applyBorder="1" applyAlignment="1"/>
    <xf numFmtId="0" fontId="0" fillId="24" borderId="0" xfId="0" applyFill="1" applyBorder="1"/>
    <xf numFmtId="0" fontId="2" fillId="2" borderId="1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17" fontId="18" fillId="13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Table'!$AG$26:$AG$124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Table'!$Q$26:$Q$124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Table'!$BK$40:$BK$180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9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pt idx="8">
                <c:v> 57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Table'!$N$131:$N$187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Table'!$N$187)</c:f>
              <c:numCache>
                <c:formatCode>_(* #,##0_);_(* \(#,##0\);_(* "-"??_);_(@_)</c:formatCode>
                <c:ptCount val="9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54</xdr:col>
      <xdr:colOff>0</xdr:colOff>
      <xdr:row>193</xdr:row>
      <xdr:rowOff>0</xdr:rowOff>
    </xdr:from>
    <xdr:to>
      <xdr:col>54</xdr:col>
      <xdr:colOff>160020</xdr:colOff>
      <xdr:row>193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54</xdr:col>
      <xdr:colOff>0</xdr:colOff>
      <xdr:row>194</xdr:row>
      <xdr:rowOff>0</xdr:rowOff>
    </xdr:from>
    <xdr:to>
      <xdr:col>54</xdr:col>
      <xdr:colOff>160020</xdr:colOff>
      <xdr:row>194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203</xdr:row>
      <xdr:rowOff>99060</xdr:rowOff>
    </xdr:from>
    <xdr:to>
      <xdr:col>22</xdr:col>
      <xdr:colOff>312420</xdr:colOff>
      <xdr:row>204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203</xdr:row>
      <xdr:rowOff>129540</xdr:rowOff>
    </xdr:from>
    <xdr:to>
      <xdr:col>23</xdr:col>
      <xdr:colOff>68580</xdr:colOff>
      <xdr:row>204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77</xdr:col>
      <xdr:colOff>0</xdr:colOff>
      <xdr:row>8</xdr:row>
      <xdr:rowOff>38100</xdr:rowOff>
    </xdr:from>
    <xdr:to>
      <xdr:col>88</xdr:col>
      <xdr:colOff>274320</xdr:colOff>
      <xdr:row>26</xdr:row>
      <xdr:rowOff>22860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91440</xdr:colOff>
      <xdr:row>26</xdr:row>
      <xdr:rowOff>160020</xdr:rowOff>
    </xdr:from>
    <xdr:to>
      <xdr:col>90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80</xdr:col>
      <xdr:colOff>601980</xdr:colOff>
      <xdr:row>2</xdr:row>
      <xdr:rowOff>68580</xdr:rowOff>
    </xdr:from>
    <xdr:to>
      <xdr:col>92</xdr:col>
      <xdr:colOff>396240</xdr:colOff>
      <xdr:row>19</xdr:row>
      <xdr:rowOff>144780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218</xdr:row>
      <xdr:rowOff>125730</xdr:rowOff>
    </xdr:from>
    <xdr:to>
      <xdr:col>52</xdr:col>
      <xdr:colOff>533400</xdr:colOff>
      <xdr:row>233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45720</xdr:colOff>
      <xdr:row>27</xdr:row>
      <xdr:rowOff>30480</xdr:rowOff>
    </xdr:from>
    <xdr:to>
      <xdr:col>12</xdr:col>
      <xdr:colOff>160020</xdr:colOff>
      <xdr:row>27</xdr:row>
      <xdr:rowOff>175260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9680" y="522732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441960</xdr:colOff>
      <xdr:row>28</xdr:row>
      <xdr:rowOff>38100</xdr:rowOff>
    </xdr:from>
    <xdr:to>
      <xdr:col>33</xdr:col>
      <xdr:colOff>548640</xdr:colOff>
      <xdr:row>28</xdr:row>
      <xdr:rowOff>167640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371320" y="543306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268"/>
  <sheetViews>
    <sheetView tabSelected="1" topLeftCell="A200" zoomScaleNormal="100" workbookViewId="0">
      <selection activeCell="BC197" sqref="BC197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8.77734375" customWidth="1"/>
    <col min="15" max="15" width="9.44140625" customWidth="1"/>
    <col min="16" max="16" width="1.21875" customWidth="1"/>
    <col min="17" max="17" width="10" hidden="1" customWidth="1" outlineLevel="1"/>
    <col min="18" max="18" width="1.21875" hidden="1" customWidth="1" outlineLevel="1"/>
    <col min="19" max="19" width="10.5546875" hidden="1" customWidth="1" outlineLevel="1"/>
    <col min="20" max="21" width="1.21875" hidden="1" customWidth="1" outlineLevel="1"/>
    <col min="22" max="22" width="5.109375" customWidth="1" collapsed="1"/>
    <col min="23" max="23" width="8.88671875" customWidth="1"/>
    <col min="24" max="24" width="1.77734375" customWidth="1"/>
    <col min="25" max="25" width="2.5546875" customWidth="1"/>
    <col min="26" max="26" width="1.66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0.33203125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" customWidth="1"/>
    <col min="39" max="39" width="1" customWidth="1"/>
    <col min="40" max="40" width="1.44140625" customWidth="1"/>
    <col min="41" max="41" width="1.21875" customWidth="1"/>
    <col min="42" max="42" width="10.554687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0.6640625" customWidth="1"/>
    <col min="54" max="54" width="1.109375" customWidth="1"/>
    <col min="55" max="55" width="11.109375" customWidth="1"/>
    <col min="56" max="56" width="0.6640625" customWidth="1"/>
    <col min="57" max="57" width="8.77734375" customWidth="1"/>
    <col min="58" max="58" width="1.109375" customWidth="1"/>
    <col min="59" max="59" width="7.7773437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9.5546875" customWidth="1" collapsed="1"/>
    <col min="67" max="67" width="0.88671875" customWidth="1"/>
    <col min="68" max="68" width="10.441406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599" t="s">
        <v>5</v>
      </c>
      <c r="C1" s="599"/>
      <c r="D1" s="599"/>
    </row>
    <row r="2" spans="2:90" ht="15.6" x14ac:dyDescent="0.3">
      <c r="B2" s="599" t="s">
        <v>6</v>
      </c>
      <c r="C2" s="599"/>
      <c r="D2" s="599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02" t="s">
        <v>13</v>
      </c>
      <c r="C3" s="602"/>
      <c r="D3" s="166"/>
      <c r="E3" s="166"/>
      <c r="F3" s="166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600" t="s">
        <v>11</v>
      </c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  <c r="Y4" s="601"/>
      <c r="Z4" s="601"/>
      <c r="AA4" s="601"/>
      <c r="AB4" s="601"/>
      <c r="AC4" s="601"/>
      <c r="AD4" s="11"/>
      <c r="AE4" s="325"/>
      <c r="AF4" s="447"/>
      <c r="AG4" s="447"/>
      <c r="AH4" s="447"/>
      <c r="AI4" s="447"/>
      <c r="AJ4" s="12"/>
      <c r="AL4" s="578" t="s">
        <v>14</v>
      </c>
      <c r="AM4" s="579"/>
      <c r="AN4" s="579"/>
      <c r="AO4" s="579"/>
      <c r="AP4" s="579"/>
      <c r="AQ4" s="579"/>
      <c r="AR4" s="579"/>
      <c r="AS4" s="579"/>
      <c r="AT4" s="579"/>
      <c r="AU4" s="579"/>
      <c r="AV4" s="579"/>
      <c r="AW4" s="579"/>
      <c r="AX4" s="579"/>
      <c r="AY4" s="579"/>
      <c r="AZ4" s="579"/>
      <c r="BA4" s="579"/>
      <c r="BB4" s="579"/>
      <c r="BC4" s="579"/>
      <c r="BD4" s="579"/>
      <c r="BE4" s="579"/>
      <c r="BF4" s="579"/>
      <c r="BG4" s="579"/>
      <c r="BH4" s="579"/>
      <c r="BI4" s="579"/>
      <c r="BJ4" s="579"/>
      <c r="BK4" s="579"/>
      <c r="BL4" s="579"/>
      <c r="BM4" s="579"/>
      <c r="BN4" s="579"/>
      <c r="BO4" s="579"/>
      <c r="BP4" s="579"/>
      <c r="BQ4" s="579"/>
      <c r="BR4" s="579"/>
      <c r="BS4" s="579"/>
      <c r="BT4" s="579"/>
      <c r="BU4" s="5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333" t="s">
        <v>7</v>
      </c>
      <c r="E6" s="334"/>
      <c r="F6" s="603" t="s">
        <v>12</v>
      </c>
      <c r="G6" s="603"/>
      <c r="H6" s="603"/>
      <c r="I6" s="603"/>
      <c r="J6" s="603"/>
      <c r="K6" s="603"/>
      <c r="L6" s="603"/>
      <c r="M6" s="335"/>
      <c r="N6" s="543"/>
      <c r="O6" s="335"/>
      <c r="P6" s="336"/>
      <c r="Q6" s="609" t="s">
        <v>124</v>
      </c>
      <c r="R6" s="603"/>
      <c r="S6" s="603"/>
      <c r="T6" s="603"/>
      <c r="U6" s="610"/>
      <c r="V6" s="3"/>
      <c r="W6" s="8" t="s">
        <v>7</v>
      </c>
      <c r="X6" s="30"/>
      <c r="Y6" s="604">
        <v>1.2500000000000001E-2</v>
      </c>
      <c r="Z6" s="604"/>
      <c r="AA6" s="604"/>
      <c r="AB6" s="604"/>
      <c r="AC6" s="604"/>
      <c r="AD6" s="604"/>
      <c r="AE6" s="604"/>
      <c r="AF6" s="604"/>
      <c r="AG6" s="604"/>
      <c r="AH6" s="604"/>
      <c r="AI6" s="604"/>
      <c r="AJ6" s="605"/>
      <c r="AK6" s="3"/>
      <c r="AL6" s="587" t="s">
        <v>27</v>
      </c>
      <c r="AM6" s="588"/>
      <c r="AN6" s="588"/>
      <c r="AO6" s="588"/>
      <c r="AP6" s="588"/>
      <c r="AQ6" s="588"/>
      <c r="AR6" s="588"/>
      <c r="AS6" s="588"/>
      <c r="AT6" s="588"/>
      <c r="AU6" s="588"/>
      <c r="AV6" s="588"/>
      <c r="AW6" s="588"/>
      <c r="AX6" s="588"/>
      <c r="AY6" s="589"/>
      <c r="AZ6" s="3"/>
      <c r="BA6" s="590" t="s">
        <v>7</v>
      </c>
      <c r="BB6" s="582"/>
      <c r="BC6" s="582"/>
      <c r="BD6" s="97"/>
      <c r="BE6" s="581" t="s">
        <v>26</v>
      </c>
      <c r="BF6" s="581"/>
      <c r="BG6" s="581"/>
      <c r="BH6" s="581"/>
      <c r="BI6" s="581"/>
      <c r="BJ6" s="581"/>
      <c r="BK6" s="581"/>
      <c r="BL6" s="581"/>
      <c r="BM6" s="581"/>
      <c r="BN6" s="581"/>
      <c r="BO6" s="581"/>
      <c r="BP6" s="581"/>
      <c r="BQ6" s="581"/>
      <c r="BR6" s="582"/>
      <c r="BS6" s="582"/>
      <c r="BT6" s="582"/>
      <c r="BU6" s="583"/>
      <c r="BV6" s="3"/>
    </row>
    <row r="7" spans="2:90" ht="16.2" x14ac:dyDescent="0.3">
      <c r="D7" s="584" t="s">
        <v>20</v>
      </c>
      <c r="E7" s="585"/>
      <c r="F7" s="585"/>
      <c r="G7" s="585"/>
      <c r="H7" s="585"/>
      <c r="I7" s="585"/>
      <c r="J7" s="585"/>
      <c r="K7" s="465"/>
      <c r="L7" s="465"/>
      <c r="M7" s="465"/>
      <c r="N7" s="542"/>
      <c r="O7" s="465"/>
      <c r="P7" s="466"/>
      <c r="Q7" s="448"/>
      <c r="R7" s="449"/>
      <c r="S7" s="449"/>
      <c r="T7" s="449"/>
      <c r="U7" s="337"/>
      <c r="V7" s="3"/>
      <c r="W7" s="606" t="s">
        <v>35</v>
      </c>
      <c r="X7" s="607"/>
      <c r="Y7" s="607"/>
      <c r="Z7" s="607"/>
      <c r="AA7" s="607"/>
      <c r="AB7" s="607"/>
      <c r="AC7" s="607"/>
      <c r="AD7" s="607"/>
      <c r="AE7" s="607"/>
      <c r="AF7" s="607"/>
      <c r="AG7" s="607"/>
      <c r="AH7" s="607"/>
      <c r="AI7" s="607"/>
      <c r="AJ7" s="608"/>
      <c r="AK7" s="3"/>
      <c r="AL7" s="584" t="s">
        <v>76</v>
      </c>
      <c r="AM7" s="585"/>
      <c r="AN7" s="585"/>
      <c r="AO7" s="585"/>
      <c r="AP7" s="585"/>
      <c r="AQ7" s="585"/>
      <c r="AR7" s="585"/>
      <c r="AS7" s="585"/>
      <c r="AT7" s="585"/>
      <c r="AU7" s="585"/>
      <c r="AV7" s="585"/>
      <c r="AW7" s="585"/>
      <c r="AX7" s="585"/>
      <c r="AY7" s="586"/>
      <c r="BA7" s="584" t="s">
        <v>25</v>
      </c>
      <c r="BB7" s="585"/>
      <c r="BC7" s="585"/>
      <c r="BD7" s="585"/>
      <c r="BE7" s="585"/>
      <c r="BF7" s="585"/>
      <c r="BG7" s="585"/>
      <c r="BH7" s="585"/>
      <c r="BI7" s="585"/>
      <c r="BJ7" s="585"/>
      <c r="BK7" s="585"/>
      <c r="BL7" s="585"/>
      <c r="BM7" s="585"/>
      <c r="BN7" s="585"/>
      <c r="BO7" s="585"/>
      <c r="BP7" s="585"/>
      <c r="BQ7" s="585"/>
      <c r="BR7" s="585"/>
      <c r="BS7" s="585"/>
      <c r="BT7" s="585"/>
      <c r="BU7" s="586"/>
      <c r="BW7" s="174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8"/>
      <c r="N8" s="328"/>
      <c r="O8" s="331" t="s">
        <v>115</v>
      </c>
      <c r="P8" s="338"/>
      <c r="Q8" s="452" t="s">
        <v>1</v>
      </c>
      <c r="R8" s="328"/>
      <c r="S8" s="53" t="s">
        <v>79</v>
      </c>
      <c r="T8" s="328"/>
      <c r="U8" s="338"/>
      <c r="W8" s="455" t="s">
        <v>1</v>
      </c>
      <c r="X8" s="456"/>
      <c r="Y8" s="457" t="s">
        <v>15</v>
      </c>
      <c r="Z8" s="456"/>
      <c r="AA8" s="458" t="s">
        <v>2</v>
      </c>
      <c r="AB8" s="456"/>
      <c r="AC8" s="459" t="s">
        <v>3</v>
      </c>
      <c r="AD8" s="456"/>
      <c r="AE8" s="460" t="s">
        <v>115</v>
      </c>
      <c r="AF8" s="461"/>
      <c r="AG8" s="455" t="s">
        <v>1</v>
      </c>
      <c r="AH8" s="454"/>
      <c r="AI8" s="460" t="s">
        <v>125</v>
      </c>
      <c r="AJ8" s="48"/>
      <c r="AL8" s="20" t="s">
        <v>1</v>
      </c>
      <c r="AM8" s="326"/>
      <c r="AN8" s="344" t="s">
        <v>15</v>
      </c>
      <c r="AO8" s="326"/>
      <c r="AP8" s="73" t="s">
        <v>2</v>
      </c>
      <c r="AQ8" s="326"/>
      <c r="AR8" s="327" t="s">
        <v>3</v>
      </c>
      <c r="AS8" s="326"/>
      <c r="AT8" s="344" t="s">
        <v>15</v>
      </c>
      <c r="AU8" s="326"/>
      <c r="AV8" s="345" t="s">
        <v>16</v>
      </c>
      <c r="AW8" s="342"/>
      <c r="AX8" s="346" t="s">
        <v>115</v>
      </c>
      <c r="AY8" s="347"/>
      <c r="BA8" s="576" t="s">
        <v>1</v>
      </c>
      <c r="BB8" s="577"/>
      <c r="BC8" s="577"/>
      <c r="BD8" s="64"/>
      <c r="BE8" s="577" t="s">
        <v>24</v>
      </c>
      <c r="BF8" s="577"/>
      <c r="BG8" s="577"/>
      <c r="BH8" s="577"/>
      <c r="BI8" s="591"/>
      <c r="BJ8" s="592" t="s">
        <v>124</v>
      </c>
      <c r="BK8" s="593"/>
      <c r="BL8" s="593"/>
      <c r="BM8" s="594"/>
      <c r="BN8" s="576" t="s">
        <v>24</v>
      </c>
      <c r="BO8" s="577"/>
      <c r="BP8" s="577"/>
      <c r="BQ8" s="64"/>
      <c r="BR8" s="105"/>
      <c r="BS8" s="464"/>
      <c r="BT8" s="106"/>
      <c r="BU8" s="181"/>
    </row>
    <row r="9" spans="2:90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</f>
        <v>203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39"/>
      <c r="AW9" s="139"/>
      <c r="AX9" s="22"/>
      <c r="AY9" s="348"/>
      <c r="BA9" s="450" t="s">
        <v>36</v>
      </c>
      <c r="BB9" s="64"/>
      <c r="BC9" s="98" t="s">
        <v>2</v>
      </c>
      <c r="BD9" s="65"/>
      <c r="BE9" s="451" t="s">
        <v>36</v>
      </c>
      <c r="BF9" s="64"/>
      <c r="BG9" s="63" t="s">
        <v>10</v>
      </c>
      <c r="BH9" s="155"/>
      <c r="BI9" s="462" t="s">
        <v>15</v>
      </c>
      <c r="BJ9" s="64"/>
      <c r="BK9" s="451" t="s">
        <v>126</v>
      </c>
      <c r="BL9" s="64"/>
      <c r="BM9" s="63" t="s">
        <v>10</v>
      </c>
      <c r="BN9" s="463" t="s">
        <v>115</v>
      </c>
      <c r="BO9" s="64"/>
      <c r="BP9" s="104" t="s">
        <v>2</v>
      </c>
      <c r="BQ9" s="352"/>
      <c r="BR9" s="105" t="s">
        <v>22</v>
      </c>
      <c r="BS9" s="64"/>
      <c r="BT9" s="106" t="s">
        <v>15</v>
      </c>
      <c r="BU9" s="182"/>
    </row>
    <row r="10" spans="2:90" x14ac:dyDescent="0.3">
      <c r="B10" s="17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/>
      <c r="O10" s="16">
        <f t="shared" ref="O10:O41" si="2">+H10/BW10</f>
        <v>19436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255</v>
      </c>
      <c r="AB10" s="33"/>
      <c r="AC10" s="46">
        <f t="shared" ref="AC10:AC41" si="4">+AA10/H10</f>
        <v>1.3119983535706935E-2</v>
      </c>
      <c r="AD10" s="231"/>
      <c r="AE10" s="33">
        <f t="shared" ref="AE10:AE41" si="5">+AA10/BW10</f>
        <v>255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39"/>
      <c r="AW10" s="139"/>
      <c r="AX10" s="22"/>
      <c r="AY10" s="348"/>
      <c r="AZ10" s="1"/>
      <c r="BA10" s="66"/>
      <c r="BB10" s="67"/>
      <c r="BC10" s="67"/>
      <c r="BD10" s="67"/>
      <c r="BE10" s="67"/>
      <c r="BF10" s="67"/>
      <c r="BG10" s="67"/>
      <c r="BH10" s="67"/>
      <c r="BI10" s="183"/>
      <c r="BJ10" s="67"/>
      <c r="BK10" s="67"/>
      <c r="BL10" s="67"/>
      <c r="BM10" s="67"/>
      <c r="BN10" s="66"/>
      <c r="BO10" s="67"/>
      <c r="BP10" s="67"/>
      <c r="BQ10" s="67"/>
      <c r="BR10" s="70"/>
      <c r="BS10" s="67"/>
      <c r="BT10" s="67"/>
      <c r="BU10" s="183"/>
      <c r="BV10" s="1"/>
      <c r="BW10">
        <v>1</v>
      </c>
    </row>
    <row r="11" spans="2:90" x14ac:dyDescent="0.3">
      <c r="B11" s="476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60"/>
      <c r="O11" s="16">
        <f t="shared" si="2"/>
        <v>12130</v>
      </c>
      <c r="P11" s="42"/>
      <c r="Q11" s="453"/>
      <c r="R11" s="60"/>
      <c r="S11" s="60"/>
      <c r="T11" s="60"/>
      <c r="U11" s="42"/>
      <c r="V11" s="477"/>
      <c r="W11" s="34">
        <v>46</v>
      </c>
      <c r="X11" s="33"/>
      <c r="Y11" s="33"/>
      <c r="Z11" s="33"/>
      <c r="AA11" s="33">
        <f t="shared" si="3"/>
        <v>301</v>
      </c>
      <c r="AB11" s="33"/>
      <c r="AC11" s="46">
        <f t="shared" si="4"/>
        <v>1.2407254740313274E-2</v>
      </c>
      <c r="AD11" s="231"/>
      <c r="AE11" s="33">
        <f t="shared" si="5"/>
        <v>150.5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39"/>
      <c r="AW11" s="139"/>
      <c r="AX11" s="22"/>
      <c r="AY11" s="348"/>
      <c r="AZ11" s="1"/>
      <c r="BA11" s="66"/>
      <c r="BB11" s="67"/>
      <c r="BC11" s="67"/>
      <c r="BD11" s="67"/>
      <c r="BE11" s="67"/>
      <c r="BF11" s="67"/>
      <c r="BG11" s="67"/>
      <c r="BH11" s="67"/>
      <c r="BI11" s="183"/>
      <c r="BJ11" s="67"/>
      <c r="BK11" s="67"/>
      <c r="BL11" s="67"/>
      <c r="BM11" s="67"/>
      <c r="BN11" s="66"/>
      <c r="BO11" s="67"/>
      <c r="BP11" s="67"/>
      <c r="BQ11" s="67"/>
      <c r="BR11" s="70"/>
      <c r="BS11" s="67"/>
      <c r="BT11" s="67"/>
      <c r="BU11" s="183"/>
      <c r="BV11" s="1"/>
      <c r="BW11">
        <f>+BW10+1</f>
        <v>2</v>
      </c>
    </row>
    <row r="12" spans="2:90" x14ac:dyDescent="0.3">
      <c r="B12" s="39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60"/>
      <c r="O12" s="16">
        <f t="shared" si="2"/>
        <v>11199.666666666666</v>
      </c>
      <c r="P12" s="42"/>
      <c r="Q12" s="453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414</v>
      </c>
      <c r="AB12" s="33"/>
      <c r="AC12" s="46">
        <f t="shared" si="4"/>
        <v>1.2321795291526534E-2</v>
      </c>
      <c r="AD12" s="231"/>
      <c r="AE12" s="33">
        <f t="shared" si="5"/>
        <v>138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341">
        <f t="shared" ref="AV12:AV43" si="9">+AP12/H12</f>
        <v>5.2977767195452243E-3</v>
      </c>
      <c r="AW12" s="341"/>
      <c r="AX12" s="24">
        <f t="shared" ref="AX12:AX43" si="10">+AP12/BW12</f>
        <v>59.333333333333336</v>
      </c>
      <c r="AY12" s="349"/>
      <c r="AZ12" s="1"/>
      <c r="BA12" s="66"/>
      <c r="BB12" s="67"/>
      <c r="BC12" s="67"/>
      <c r="BD12" s="67"/>
      <c r="BE12" s="67"/>
      <c r="BF12" s="67"/>
      <c r="BG12" s="67"/>
      <c r="BH12" s="67"/>
      <c r="BI12" s="183"/>
      <c r="BJ12" s="67"/>
      <c r="BK12" s="67"/>
      <c r="BL12" s="67"/>
      <c r="BM12" s="67"/>
      <c r="BN12" s="66"/>
      <c r="BO12" s="67"/>
      <c r="BP12" s="67"/>
      <c r="BQ12" s="67"/>
      <c r="BR12" s="70"/>
      <c r="BS12" s="67"/>
      <c r="BT12" s="67"/>
      <c r="BU12" s="183"/>
      <c r="BV12" s="1"/>
      <c r="BW12">
        <f t="shared" ref="BW12:BW76" si="11">+BW11+1</f>
        <v>3</v>
      </c>
    </row>
    <row r="13" spans="2:90" x14ac:dyDescent="0.3">
      <c r="B13" s="17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60"/>
      <c r="O13" s="16">
        <f t="shared" si="2"/>
        <v>10941.75</v>
      </c>
      <c r="P13" s="42"/>
      <c r="Q13" s="453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555</v>
      </c>
      <c r="AB13" s="33"/>
      <c r="AC13" s="46">
        <f t="shared" si="4"/>
        <v>1.2680786894235383E-2</v>
      </c>
      <c r="AD13" s="231"/>
      <c r="AE13" s="33">
        <f t="shared" si="5"/>
        <v>138.75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341">
        <f t="shared" si="9"/>
        <v>6.740238078917906E-3</v>
      </c>
      <c r="AW13" s="341"/>
      <c r="AX13" s="24">
        <f t="shared" si="10"/>
        <v>73.75</v>
      </c>
      <c r="AY13" s="351"/>
      <c r="AZ13" s="1"/>
      <c r="BA13" s="66"/>
      <c r="BB13" s="67"/>
      <c r="BC13" s="67"/>
      <c r="BD13" s="67"/>
      <c r="BE13" s="67"/>
      <c r="BF13" s="67"/>
      <c r="BG13" s="67"/>
      <c r="BH13" s="67"/>
      <c r="BI13" s="183"/>
      <c r="BJ13" s="67"/>
      <c r="BK13" s="67"/>
      <c r="BL13" s="67"/>
      <c r="BM13" s="67"/>
      <c r="BN13" s="66"/>
      <c r="BO13" s="67"/>
      <c r="BP13" s="67"/>
      <c r="BQ13" s="67"/>
      <c r="BR13" s="70"/>
      <c r="BS13" s="67"/>
      <c r="BT13" s="67"/>
      <c r="BU13" s="183"/>
      <c r="BV13" s="1"/>
      <c r="BW13">
        <f t="shared" si="11"/>
        <v>4</v>
      </c>
    </row>
    <row r="14" spans="2:90" x14ac:dyDescent="0.3">
      <c r="B14" s="17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60"/>
      <c r="O14" s="16">
        <f t="shared" si="2"/>
        <v>10971.2</v>
      </c>
      <c r="P14" s="42"/>
      <c r="Q14" s="453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780</v>
      </c>
      <c r="AB14" s="33"/>
      <c r="AC14" s="46">
        <f t="shared" si="4"/>
        <v>1.4219046230129795E-2</v>
      </c>
      <c r="AD14" s="231"/>
      <c r="AE14" s="33">
        <f t="shared" si="5"/>
        <v>156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341">
        <f t="shared" si="9"/>
        <v>6.8907685576782849E-3</v>
      </c>
      <c r="AW14" s="341"/>
      <c r="AX14" s="24">
        <f t="shared" si="10"/>
        <v>75.599999999999994</v>
      </c>
      <c r="AY14" s="351"/>
      <c r="AZ14" s="1"/>
      <c r="BA14" s="66"/>
      <c r="BB14" s="67"/>
      <c r="BC14" s="67"/>
      <c r="BD14" s="67"/>
      <c r="BE14" s="67"/>
      <c r="BF14" s="67"/>
      <c r="BG14" s="67"/>
      <c r="BH14" s="67"/>
      <c r="BI14" s="183"/>
      <c r="BJ14" s="67"/>
      <c r="BK14" s="67"/>
      <c r="BL14" s="67"/>
      <c r="BM14" s="67"/>
      <c r="BN14" s="66"/>
      <c r="BO14" s="67"/>
      <c r="BP14" s="67"/>
      <c r="BQ14" s="67"/>
      <c r="BR14" s="70"/>
      <c r="BS14" s="67"/>
      <c r="BT14" s="67"/>
      <c r="BU14" s="183"/>
      <c r="BV14" s="1"/>
      <c r="BW14">
        <f t="shared" si="11"/>
        <v>5</v>
      </c>
      <c r="CL14" s="56"/>
    </row>
    <row r="15" spans="2:90" x14ac:dyDescent="0.3">
      <c r="B15" s="17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60"/>
      <c r="O15" s="16">
        <f t="shared" si="2"/>
        <v>11368.5</v>
      </c>
      <c r="P15" s="42"/>
      <c r="Q15" s="453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1027</v>
      </c>
      <c r="AB15" s="33"/>
      <c r="AC15" s="46">
        <f t="shared" si="4"/>
        <v>1.5056222603392415E-2</v>
      </c>
      <c r="AD15" s="231"/>
      <c r="AE15" s="33">
        <f t="shared" si="5"/>
        <v>171.16666666666666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341">
        <f t="shared" si="9"/>
        <v>5.7761944554397381E-3</v>
      </c>
      <c r="AW15" s="341"/>
      <c r="AX15" s="24">
        <f t="shared" si="10"/>
        <v>65.666666666666671</v>
      </c>
      <c r="AY15" s="351"/>
      <c r="AZ15" s="1"/>
      <c r="BA15" s="66"/>
      <c r="BB15" s="67"/>
      <c r="BC15" s="67"/>
      <c r="BD15" s="67"/>
      <c r="BE15" s="67"/>
      <c r="BF15" s="67"/>
      <c r="BG15" s="67"/>
      <c r="BH15" s="67"/>
      <c r="BI15" s="183"/>
      <c r="BJ15" s="67"/>
      <c r="BK15" s="67"/>
      <c r="BL15" s="67"/>
      <c r="BM15" s="67"/>
      <c r="BN15" s="66"/>
      <c r="BO15" s="67"/>
      <c r="BP15" s="67"/>
      <c r="BQ15" s="67"/>
      <c r="BR15" s="70"/>
      <c r="BS15" s="67"/>
      <c r="BT15" s="67"/>
      <c r="BU15" s="183"/>
      <c r="BV15" s="1"/>
      <c r="BW15">
        <f t="shared" si="11"/>
        <v>6</v>
      </c>
      <c r="CL15" s="56"/>
    </row>
    <row r="16" spans="2:90" x14ac:dyDescent="0.3">
      <c r="B16" s="17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60"/>
      <c r="O16" s="16">
        <f t="shared" si="2"/>
        <v>12205</v>
      </c>
      <c r="P16" s="42"/>
      <c r="Q16" s="453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1295</v>
      </c>
      <c r="AB16" s="33"/>
      <c r="AC16" s="46">
        <f t="shared" si="4"/>
        <v>1.5157722244981565E-2</v>
      </c>
      <c r="AD16" s="231"/>
      <c r="AE16" s="33">
        <f t="shared" si="5"/>
        <v>185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341">
        <f t="shared" si="9"/>
        <v>2.1864575408205068E-2</v>
      </c>
      <c r="AW16" s="341"/>
      <c r="AX16" s="24">
        <f t="shared" si="10"/>
        <v>266.85714285714283</v>
      </c>
      <c r="AY16" s="351"/>
      <c r="AZ16" s="1"/>
      <c r="BA16" s="66"/>
      <c r="BB16" s="67"/>
      <c r="BC16" s="67"/>
      <c r="BD16" s="67"/>
      <c r="BE16" s="67"/>
      <c r="BF16" s="67"/>
      <c r="BG16" s="67"/>
      <c r="BH16" s="67"/>
      <c r="BI16" s="183"/>
      <c r="BJ16" s="67"/>
      <c r="BK16" s="67"/>
      <c r="BL16" s="67"/>
      <c r="BM16" s="67"/>
      <c r="BN16" s="66"/>
      <c r="BO16" s="67"/>
      <c r="BP16" s="67"/>
      <c r="BQ16" s="67"/>
      <c r="BR16" s="70"/>
      <c r="BS16" s="67"/>
      <c r="BT16" s="67"/>
      <c r="BU16" s="183"/>
      <c r="BV16" s="1"/>
      <c r="BW16">
        <f t="shared" si="11"/>
        <v>7</v>
      </c>
      <c r="CL16" s="56"/>
    </row>
    <row r="17" spans="2:90" x14ac:dyDescent="0.3">
      <c r="B17" s="17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60"/>
      <c r="O17" s="16">
        <f t="shared" si="2"/>
        <v>13015.75</v>
      </c>
      <c r="P17" s="42"/>
      <c r="Q17" s="453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1695</v>
      </c>
      <c r="AB17" s="33"/>
      <c r="AC17" s="46">
        <f t="shared" si="4"/>
        <v>1.6278355069819256E-2</v>
      </c>
      <c r="AD17" s="231"/>
      <c r="AE17" s="33">
        <f t="shared" si="5"/>
        <v>211.875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341">
        <f t="shared" si="9"/>
        <v>2.4220655744002458E-2</v>
      </c>
      <c r="AW17" s="341"/>
      <c r="AX17" s="24">
        <f t="shared" si="10"/>
        <v>315.25</v>
      </c>
      <c r="AY17" s="351"/>
      <c r="AZ17" s="1"/>
      <c r="BA17" s="66"/>
      <c r="BB17" s="67"/>
      <c r="BC17" s="67"/>
      <c r="BD17" s="67"/>
      <c r="BE17" s="67"/>
      <c r="BF17" s="67"/>
      <c r="BG17" s="67"/>
      <c r="BH17" s="67"/>
      <c r="BI17" s="183"/>
      <c r="BJ17" s="67"/>
      <c r="BK17" s="67"/>
      <c r="BL17" s="67"/>
      <c r="BM17" s="67"/>
      <c r="BN17" s="66"/>
      <c r="BO17" s="67"/>
      <c r="BP17" s="67"/>
      <c r="BQ17" s="67"/>
      <c r="BR17" s="70"/>
      <c r="BS17" s="67"/>
      <c r="BT17" s="67"/>
      <c r="BU17" s="183"/>
      <c r="BV17" s="1"/>
      <c r="BW17">
        <f t="shared" si="11"/>
        <v>8</v>
      </c>
      <c r="CL17" s="56"/>
    </row>
    <row r="18" spans="2:90" x14ac:dyDescent="0.3">
      <c r="B18" s="476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60"/>
      <c r="O18" s="16">
        <f t="shared" si="2"/>
        <v>13730.888888888889</v>
      </c>
      <c r="P18" s="42"/>
      <c r="Q18" s="453"/>
      <c r="R18" s="60"/>
      <c r="S18" s="60"/>
      <c r="T18" s="60"/>
      <c r="U18" s="42"/>
      <c r="V18" s="477"/>
      <c r="W18" s="34">
        <v>525</v>
      </c>
      <c r="X18" s="33"/>
      <c r="Y18" s="33"/>
      <c r="Z18" s="33"/>
      <c r="AA18" s="33">
        <f t="shared" si="3"/>
        <v>2220</v>
      </c>
      <c r="AB18" s="33"/>
      <c r="AC18" s="46">
        <f t="shared" si="4"/>
        <v>1.7964362588810307E-2</v>
      </c>
      <c r="AD18" s="231"/>
      <c r="AE18" s="33">
        <f t="shared" si="5"/>
        <v>246.66666666666666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341">
        <f t="shared" si="9"/>
        <v>2.6145430416417162E-2</v>
      </c>
      <c r="AW18" s="341"/>
      <c r="AX18" s="24">
        <f t="shared" si="10"/>
        <v>359</v>
      </c>
      <c r="AY18" s="351"/>
      <c r="AZ18" s="1"/>
      <c r="BA18" s="66"/>
      <c r="BB18" s="67"/>
      <c r="BC18" s="67"/>
      <c r="BD18" s="67"/>
      <c r="BE18" s="67"/>
      <c r="BF18" s="67"/>
      <c r="BG18" s="67"/>
      <c r="BH18" s="67"/>
      <c r="BI18" s="183"/>
      <c r="BJ18" s="67"/>
      <c r="BK18" s="67"/>
      <c r="BL18" s="67"/>
      <c r="BM18" s="67"/>
      <c r="BN18" s="66"/>
      <c r="BO18" s="67"/>
      <c r="BP18" s="67"/>
      <c r="BQ18" s="67"/>
      <c r="BR18" s="70"/>
      <c r="BS18" s="67"/>
      <c r="BT18" s="67"/>
      <c r="BU18" s="183"/>
      <c r="BV18" s="1"/>
      <c r="BW18">
        <f t="shared" si="11"/>
        <v>9</v>
      </c>
      <c r="CL18" s="56"/>
    </row>
    <row r="19" spans="2:90" x14ac:dyDescent="0.3">
      <c r="B19" s="390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60"/>
      <c r="O19" s="16">
        <f t="shared" si="2"/>
        <v>14349.1</v>
      </c>
      <c r="P19" s="42"/>
      <c r="Q19" s="453"/>
      <c r="R19" s="60"/>
      <c r="S19" s="60"/>
      <c r="T19" s="60"/>
      <c r="U19" s="42"/>
      <c r="V19" s="391"/>
      <c r="W19" s="34">
        <v>363</v>
      </c>
      <c r="X19" s="33"/>
      <c r="Y19" s="33"/>
      <c r="Z19" s="33"/>
      <c r="AA19" s="33">
        <f t="shared" si="3"/>
        <v>2583</v>
      </c>
      <c r="AB19" s="33"/>
      <c r="AC19" s="46">
        <f t="shared" si="4"/>
        <v>1.8001128990668403E-2</v>
      </c>
      <c r="AD19" s="231"/>
      <c r="AE19" s="33">
        <f t="shared" si="5"/>
        <v>258.3</v>
      </c>
      <c r="AF19" s="50"/>
      <c r="AG19" s="33"/>
      <c r="AH19" s="33"/>
      <c r="AI19" s="33"/>
      <c r="AJ19" s="49"/>
      <c r="AK19" s="391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341">
        <f t="shared" si="9"/>
        <v>3.1772027513920734E-2</v>
      </c>
      <c r="AW19" s="341"/>
      <c r="AX19" s="24">
        <f t="shared" si="10"/>
        <v>455.9</v>
      </c>
      <c r="AY19" s="351"/>
      <c r="AZ19" s="391"/>
      <c r="BA19" s="66"/>
      <c r="BB19" s="67"/>
      <c r="BC19" s="67"/>
      <c r="BD19" s="67"/>
      <c r="BE19" s="67"/>
      <c r="BF19" s="67"/>
      <c r="BG19" s="67"/>
      <c r="BH19" s="67"/>
      <c r="BI19" s="183"/>
      <c r="BJ19" s="67"/>
      <c r="BK19" s="67"/>
      <c r="BL19" s="67"/>
      <c r="BM19" s="67"/>
      <c r="BN19" s="66"/>
      <c r="BO19" s="67"/>
      <c r="BP19" s="67"/>
      <c r="BQ19" s="67"/>
      <c r="BR19" s="70"/>
      <c r="BS19" s="67"/>
      <c r="BT19" s="67"/>
      <c r="BU19" s="183"/>
      <c r="BV19" s="1"/>
      <c r="BW19">
        <f t="shared" si="11"/>
        <v>10</v>
      </c>
      <c r="CL19" s="56"/>
    </row>
    <row r="20" spans="2:90" x14ac:dyDescent="0.3">
      <c r="B20" s="17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60"/>
      <c r="O20" s="16">
        <f t="shared" si="2"/>
        <v>14894.90909090909</v>
      </c>
      <c r="P20" s="42"/>
      <c r="Q20" s="453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3141</v>
      </c>
      <c r="AB20" s="33"/>
      <c r="AC20" s="46">
        <f t="shared" si="4"/>
        <v>1.9170674544078514E-2</v>
      </c>
      <c r="AD20" s="231"/>
      <c r="AE20" s="33">
        <f t="shared" si="5"/>
        <v>285.54545454545456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341">
        <f t="shared" si="9"/>
        <v>3.3605136593344888E-2</v>
      </c>
      <c r="AW20" s="341"/>
      <c r="AX20" s="24">
        <f t="shared" si="10"/>
        <v>500.54545454545456</v>
      </c>
      <c r="AY20" s="351"/>
      <c r="AZ20" s="10"/>
      <c r="BA20" s="66"/>
      <c r="BB20" s="67"/>
      <c r="BC20" s="67"/>
      <c r="BD20" s="67"/>
      <c r="BE20" s="67"/>
      <c r="BF20" s="67"/>
      <c r="BG20" s="67"/>
      <c r="BH20" s="67"/>
      <c r="BI20" s="183"/>
      <c r="BJ20" s="67"/>
      <c r="BK20" s="67"/>
      <c r="BL20" s="67"/>
      <c r="BM20" s="67"/>
      <c r="BN20" s="66"/>
      <c r="BO20" s="67"/>
      <c r="BP20" s="67"/>
      <c r="BQ20" s="67"/>
      <c r="BR20" s="70"/>
      <c r="BS20" s="67"/>
      <c r="BT20" s="67"/>
      <c r="BU20" s="183"/>
      <c r="BV20" s="1"/>
      <c r="BW20">
        <f t="shared" si="11"/>
        <v>11</v>
      </c>
      <c r="CL20" s="56"/>
    </row>
    <row r="21" spans="2:90" x14ac:dyDescent="0.3">
      <c r="B21" s="17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60"/>
      <c r="O21" s="16">
        <f t="shared" si="2"/>
        <v>15715.5</v>
      </c>
      <c r="P21" s="42"/>
      <c r="Q21" s="453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4053</v>
      </c>
      <c r="AB21" s="33"/>
      <c r="AC21" s="46">
        <f t="shared" si="4"/>
        <v>2.1491521109732431E-2</v>
      </c>
      <c r="AD21" s="33"/>
      <c r="AE21" s="33">
        <f t="shared" si="5"/>
        <v>337.75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341">
        <f t="shared" si="9"/>
        <v>3.8449301644872896E-2</v>
      </c>
      <c r="AW21" s="341"/>
      <c r="AX21" s="24">
        <f t="shared" si="10"/>
        <v>604.25</v>
      </c>
      <c r="AY21" s="351"/>
      <c r="AZ21" s="1"/>
      <c r="BA21" s="66"/>
      <c r="BB21" s="67"/>
      <c r="BC21" s="67"/>
      <c r="BD21" s="67"/>
      <c r="BE21" s="67"/>
      <c r="BF21" s="67"/>
      <c r="BG21" s="67"/>
      <c r="BH21" s="67"/>
      <c r="BI21" s="183"/>
      <c r="BJ21" s="67"/>
      <c r="BK21" s="67"/>
      <c r="BL21" s="67"/>
      <c r="BM21" s="67"/>
      <c r="BN21" s="66"/>
      <c r="BO21" s="67"/>
      <c r="BP21" s="67"/>
      <c r="BQ21" s="67"/>
      <c r="BR21" s="70"/>
      <c r="BS21" s="67"/>
      <c r="BT21" s="67"/>
      <c r="BU21" s="183"/>
      <c r="BV21" s="1"/>
      <c r="BW21">
        <f t="shared" si="11"/>
        <v>12</v>
      </c>
      <c r="CL21" s="56"/>
    </row>
    <row r="22" spans="2:90" x14ac:dyDescent="0.3">
      <c r="B22" s="17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60"/>
      <c r="O22" s="16">
        <f t="shared" si="2"/>
        <v>16543</v>
      </c>
      <c r="P22" s="42"/>
      <c r="Q22" s="453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5102</v>
      </c>
      <c r="AB22" s="33"/>
      <c r="AC22" s="46">
        <f t="shared" si="4"/>
        <v>2.3723722327361328E-2</v>
      </c>
      <c r="AD22" s="33"/>
      <c r="AE22" s="33">
        <f t="shared" si="5"/>
        <v>392.46153846153845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341">
        <f t="shared" si="9"/>
        <v>4.1281694790731849E-2</v>
      </c>
      <c r="AW22" s="341"/>
      <c r="AX22" s="24">
        <f t="shared" si="10"/>
        <v>682.92307692307691</v>
      </c>
      <c r="AY22" s="351"/>
      <c r="AZ22" s="1"/>
      <c r="BA22" s="66"/>
      <c r="BB22" s="67"/>
      <c r="BC22" s="67"/>
      <c r="BD22" s="67"/>
      <c r="BE22" s="67"/>
      <c r="BF22" s="67"/>
      <c r="BG22" s="67"/>
      <c r="BH22" s="67"/>
      <c r="BI22" s="183"/>
      <c r="BJ22" s="67"/>
      <c r="BK22" s="67"/>
      <c r="BL22" s="67"/>
      <c r="BM22" s="67"/>
      <c r="BN22" s="66"/>
      <c r="BO22" s="67"/>
      <c r="BP22" s="67"/>
      <c r="BQ22" s="67"/>
      <c r="BR22" s="70"/>
      <c r="BS22" s="67"/>
      <c r="BT22" s="67"/>
      <c r="BU22" s="183"/>
      <c r="BV22" s="1"/>
      <c r="BW22">
        <f t="shared" si="11"/>
        <v>13</v>
      </c>
    </row>
    <row r="23" spans="2:90" x14ac:dyDescent="0.3">
      <c r="B23" s="17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60"/>
      <c r="O23" s="16">
        <f t="shared" si="2"/>
        <v>17491.214285714286</v>
      </c>
      <c r="P23" s="42"/>
      <c r="Q23" s="453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6076</v>
      </c>
      <c r="AB23" s="33"/>
      <c r="AC23" s="46">
        <f t="shared" si="4"/>
        <v>2.4812456866100122E-2</v>
      </c>
      <c r="AD23" s="33"/>
      <c r="AE23" s="33">
        <f t="shared" si="5"/>
        <v>434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341">
        <f t="shared" si="9"/>
        <v>4.2482552465115141E-2</v>
      </c>
      <c r="AW23" s="341"/>
      <c r="AX23" s="24">
        <f t="shared" si="10"/>
        <v>743.07142857142856</v>
      </c>
      <c r="AY23" s="351"/>
      <c r="AZ23" s="1"/>
      <c r="BA23" s="66"/>
      <c r="BB23" s="67"/>
      <c r="BC23" s="67"/>
      <c r="BD23" s="67"/>
      <c r="BE23" s="67"/>
      <c r="BF23" s="67"/>
      <c r="BG23" s="67"/>
      <c r="BH23" s="67"/>
      <c r="BI23" s="183"/>
      <c r="BJ23" s="67"/>
      <c r="BK23" s="67"/>
      <c r="BL23" s="67"/>
      <c r="BM23" s="67"/>
      <c r="BN23" s="66"/>
      <c r="BO23" s="67"/>
      <c r="BP23" s="67"/>
      <c r="BQ23" s="67"/>
      <c r="BR23" s="70"/>
      <c r="BS23" s="67"/>
      <c r="BT23" s="67"/>
      <c r="BU23" s="183"/>
      <c r="BV23" s="1"/>
      <c r="BW23">
        <f t="shared" si="11"/>
        <v>14</v>
      </c>
    </row>
    <row r="24" spans="2:90" x14ac:dyDescent="0.3">
      <c r="B24" s="17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29" t="s">
        <v>47</v>
      </c>
      <c r="J24" s="38">
        <f t="shared" si="1"/>
        <v>0.13183761643600664</v>
      </c>
      <c r="K24" s="60"/>
      <c r="L24" s="60"/>
      <c r="M24" s="60"/>
      <c r="N24" s="60"/>
      <c r="O24" s="16">
        <f t="shared" si="2"/>
        <v>18631.400000000001</v>
      </c>
      <c r="P24" s="42"/>
      <c r="Q24" s="453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7795</v>
      </c>
      <c r="AB24" s="339" t="s">
        <v>47</v>
      </c>
      <c r="AC24" s="46">
        <f t="shared" si="4"/>
        <v>2.7891981636735116E-2</v>
      </c>
      <c r="AD24" s="33"/>
      <c r="AE24" s="33">
        <f t="shared" si="5"/>
        <v>519.66666666666663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341">
        <f t="shared" si="9"/>
        <v>4.3789874441355278E-2</v>
      </c>
      <c r="AW24" s="341"/>
      <c r="AX24" s="24">
        <f t="shared" si="10"/>
        <v>815.86666666666667</v>
      </c>
      <c r="AY24" s="351"/>
      <c r="AZ24" s="1"/>
      <c r="BA24" s="66">
        <v>698344</v>
      </c>
      <c r="BB24" s="67"/>
      <c r="BC24" s="67">
        <f>+BA24</f>
        <v>698344</v>
      </c>
      <c r="BD24" s="67"/>
      <c r="BE24" s="67">
        <f t="shared" ref="BE24:BE68" si="12">+D24</f>
        <v>32284</v>
      </c>
      <c r="BF24" s="67"/>
      <c r="BG24" s="67"/>
      <c r="BH24" s="67"/>
      <c r="BI24" s="183"/>
      <c r="BJ24" s="67"/>
      <c r="BK24" s="67"/>
      <c r="BL24" s="67"/>
      <c r="BM24" s="67"/>
      <c r="BN24" s="66"/>
      <c r="BO24" s="67"/>
      <c r="BP24" s="67">
        <f>+BE24</f>
        <v>32284</v>
      </c>
      <c r="BQ24" s="67"/>
      <c r="BR24" s="74">
        <f t="shared" ref="BR24:BR68" si="13">+BP24/BC24</f>
        <v>4.6229365470312624E-2</v>
      </c>
      <c r="BS24" s="67"/>
      <c r="BT24" s="67"/>
      <c r="BU24" s="183"/>
      <c r="BV24" s="1"/>
      <c r="BW24">
        <f t="shared" si="11"/>
        <v>15</v>
      </c>
    </row>
    <row r="25" spans="2:90" x14ac:dyDescent="0.3">
      <c r="B25" s="476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/>
      <c r="O25" s="16">
        <f t="shared" si="2"/>
        <v>19604.1875</v>
      </c>
      <c r="P25" s="41"/>
      <c r="Q25" s="17"/>
      <c r="R25" s="16"/>
      <c r="S25" s="16"/>
      <c r="T25" s="16"/>
      <c r="U25" s="41"/>
      <c r="V25" s="477"/>
      <c r="W25" s="34">
        <f>1331-1</f>
        <v>1330</v>
      </c>
      <c r="X25" s="33"/>
      <c r="Y25" s="33"/>
      <c r="Z25" s="33"/>
      <c r="AA25" s="33">
        <f t="shared" ref="AA25:AA34" si="15">+AA24+W25</f>
        <v>9125</v>
      </c>
      <c r="AB25" s="33"/>
      <c r="AC25" s="46">
        <f t="shared" si="4"/>
        <v>2.9091361220657575E-2</v>
      </c>
      <c r="AD25" s="33"/>
      <c r="AE25" s="33">
        <f t="shared" si="5"/>
        <v>570.3125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341">
        <f t="shared" si="9"/>
        <v>4.726349918862998E-2</v>
      </c>
      <c r="AW25" s="341"/>
      <c r="AX25" s="24">
        <f t="shared" si="10"/>
        <v>926.5625</v>
      </c>
      <c r="AY25" s="351"/>
      <c r="AZ25" s="1"/>
      <c r="BA25" s="66">
        <v>934611</v>
      </c>
      <c r="BB25" s="67"/>
      <c r="BC25" s="67">
        <f>+BC24+BA25</f>
        <v>1632955</v>
      </c>
      <c r="BD25" s="67"/>
      <c r="BE25" s="67">
        <f t="shared" si="12"/>
        <v>34196</v>
      </c>
      <c r="BF25" s="67"/>
      <c r="BG25" s="67"/>
      <c r="BH25" s="67"/>
      <c r="BI25" s="183"/>
      <c r="BJ25" s="67"/>
      <c r="BK25" s="67"/>
      <c r="BL25" s="67"/>
      <c r="BM25" s="67"/>
      <c r="BN25" s="66"/>
      <c r="BO25" s="67"/>
      <c r="BP25" s="67">
        <f t="shared" ref="BP25:BP68" si="16">+BP24+BE25</f>
        <v>66480</v>
      </c>
      <c r="BQ25" s="67"/>
      <c r="BR25" s="74">
        <f t="shared" si="13"/>
        <v>4.0711470922346296E-2</v>
      </c>
      <c r="BS25" s="67"/>
      <c r="BT25" s="86"/>
      <c r="BU25" s="183"/>
      <c r="BV25" s="1"/>
      <c r="BW25">
        <f t="shared" si="11"/>
        <v>16</v>
      </c>
    </row>
    <row r="26" spans="2:90" x14ac:dyDescent="0.3">
      <c r="B26" s="390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/>
      <c r="O26" s="16">
        <f t="shared" si="2"/>
        <v>19940.176470588234</v>
      </c>
      <c r="P26" s="41"/>
      <c r="Q26" s="17">
        <f>SUM(D20:D26)</f>
        <v>193182</v>
      </c>
      <c r="R26" s="16"/>
      <c r="S26" s="16"/>
      <c r="T26" s="16"/>
      <c r="U26" s="41"/>
      <c r="V26" s="391"/>
      <c r="W26" s="34">
        <v>1165</v>
      </c>
      <c r="X26" s="33"/>
      <c r="Y26" s="33"/>
      <c r="Z26" s="33"/>
      <c r="AA26" s="33">
        <f t="shared" si="15"/>
        <v>10290</v>
      </c>
      <c r="AB26" s="33"/>
      <c r="AC26" s="46">
        <f t="shared" si="4"/>
        <v>3.0355504553325682E-2</v>
      </c>
      <c r="AD26" s="33"/>
      <c r="AE26" s="33">
        <f t="shared" si="5"/>
        <v>605.29411764705878</v>
      </c>
      <c r="AF26" s="50"/>
      <c r="AG26" s="33">
        <f>SUM(W20:W26)</f>
        <v>7033</v>
      </c>
      <c r="AH26" s="33"/>
      <c r="AI26" s="33"/>
      <c r="AJ26" s="50"/>
      <c r="AK26" s="391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341">
        <f t="shared" si="9"/>
        <v>5.3032157954823696E-2</v>
      </c>
      <c r="AW26" s="341"/>
      <c r="AX26" s="24">
        <f t="shared" si="10"/>
        <v>1057.4705882352941</v>
      </c>
      <c r="AY26" s="351"/>
      <c r="AZ26" s="391"/>
      <c r="BA26" s="66">
        <v>139414</v>
      </c>
      <c r="BB26" s="67"/>
      <c r="BC26" s="67">
        <f>+BC25+BA26</f>
        <v>1772369</v>
      </c>
      <c r="BD26" s="67"/>
      <c r="BE26" s="67">
        <f t="shared" si="12"/>
        <v>25316</v>
      </c>
      <c r="BF26" s="67"/>
      <c r="BG26" s="67"/>
      <c r="BH26" s="67"/>
      <c r="BI26" s="183"/>
      <c r="BJ26" s="67"/>
      <c r="BK26" s="67"/>
      <c r="BL26" s="67"/>
      <c r="BM26" s="67"/>
      <c r="BN26" s="66"/>
      <c r="BO26" s="67"/>
      <c r="BP26" s="67">
        <f t="shared" si="16"/>
        <v>91796</v>
      </c>
      <c r="BQ26" s="67"/>
      <c r="BR26" s="74">
        <f t="shared" si="13"/>
        <v>5.1792826437384087E-2</v>
      </c>
      <c r="BS26" s="67"/>
      <c r="BT26" s="86"/>
      <c r="BU26" s="183"/>
      <c r="BV26" s="1"/>
      <c r="BW26">
        <f t="shared" si="11"/>
        <v>17</v>
      </c>
    </row>
    <row r="27" spans="2:90" x14ac:dyDescent="0.3">
      <c r="B27" s="17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/>
      <c r="O27" s="16">
        <f t="shared" si="2"/>
        <v>20566.277777777777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11545</v>
      </c>
      <c r="AB27" s="33"/>
      <c r="AC27" s="46">
        <f t="shared" si="4"/>
        <v>3.1186435183809525E-2</v>
      </c>
      <c r="AD27" s="33"/>
      <c r="AE27" s="33">
        <f t="shared" si="5"/>
        <v>641.38888888888891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341">
        <f t="shared" si="9"/>
        <v>5.3137147379880227E-2</v>
      </c>
      <c r="AW27" s="341"/>
      <c r="AX27" s="24">
        <f t="shared" si="10"/>
        <v>1092.8333333333333</v>
      </c>
      <c r="AY27" s="351"/>
      <c r="AZ27" s="10"/>
      <c r="BA27" s="66">
        <f t="shared" ref="BA27:BA51" si="17">+BC27-BC26</f>
        <v>142171</v>
      </c>
      <c r="BB27" s="67"/>
      <c r="BC27" s="67">
        <v>1914540</v>
      </c>
      <c r="BD27" s="67"/>
      <c r="BE27" s="67">
        <f t="shared" si="12"/>
        <v>31210</v>
      </c>
      <c r="BF27" s="67"/>
      <c r="BG27" s="67"/>
      <c r="BH27" s="67"/>
      <c r="BI27" s="183"/>
      <c r="BJ27" s="67"/>
      <c r="BK27" s="67"/>
      <c r="BL27" s="67"/>
      <c r="BM27" s="67"/>
      <c r="BN27" s="66"/>
      <c r="BO27" s="67"/>
      <c r="BP27" s="67">
        <f t="shared" si="16"/>
        <v>123006</v>
      </c>
      <c r="BQ27" s="67"/>
      <c r="BR27" s="74">
        <f t="shared" si="13"/>
        <v>6.4248331191826755E-2</v>
      </c>
      <c r="BS27" s="67"/>
      <c r="BT27" s="86"/>
      <c r="BU27" s="183"/>
      <c r="BV27" s="1"/>
      <c r="BW27">
        <f t="shared" si="11"/>
        <v>18</v>
      </c>
    </row>
    <row r="28" spans="2:90" x14ac:dyDescent="0.3">
      <c r="B28" s="17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/>
      <c r="O28" s="16">
        <f t="shared" si="2"/>
        <v>21244.894736842107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13515</v>
      </c>
      <c r="AB28" s="33"/>
      <c r="AC28" s="46">
        <f t="shared" si="4"/>
        <v>3.3481728117962704E-2</v>
      </c>
      <c r="AD28" s="33"/>
      <c r="AE28" s="33">
        <f t="shared" si="5"/>
        <v>711.31578947368416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341">
        <f t="shared" si="9"/>
        <v>5.3694633757212257E-2</v>
      </c>
      <c r="AW28" s="341"/>
      <c r="AX28" s="24">
        <f t="shared" si="10"/>
        <v>1140.7368421052631</v>
      </c>
      <c r="AY28" s="351"/>
      <c r="AZ28" s="1"/>
      <c r="BA28" s="66">
        <f t="shared" si="17"/>
        <v>161199</v>
      </c>
      <c r="BB28" s="67"/>
      <c r="BC28" s="67">
        <v>2075739</v>
      </c>
      <c r="BD28" s="67"/>
      <c r="BE28" s="67">
        <f t="shared" si="12"/>
        <v>33460</v>
      </c>
      <c r="BF28" s="67"/>
      <c r="BG28" s="67"/>
      <c r="BH28" s="67"/>
      <c r="BI28" s="183"/>
      <c r="BJ28" s="67"/>
      <c r="BK28" s="67"/>
      <c r="BL28" s="67"/>
      <c r="BM28" s="67"/>
      <c r="BN28" s="66"/>
      <c r="BO28" s="67"/>
      <c r="BP28" s="67">
        <f t="shared" si="16"/>
        <v>156466</v>
      </c>
      <c r="BQ28" s="67"/>
      <c r="BR28" s="74">
        <f t="shared" si="13"/>
        <v>7.5378455576544059E-2</v>
      </c>
      <c r="BS28" s="67"/>
      <c r="BT28" s="86"/>
      <c r="BU28" s="183"/>
      <c r="BV28" s="1"/>
      <c r="BW28">
        <f t="shared" si="11"/>
        <v>19</v>
      </c>
    </row>
    <row r="29" spans="2:90" x14ac:dyDescent="0.3">
      <c r="B29" s="17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/>
      <c r="O29" s="16">
        <f t="shared" si="2"/>
        <v>21779.4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15465</v>
      </c>
      <c r="AB29" s="33"/>
      <c r="AC29" s="46">
        <f t="shared" si="4"/>
        <v>3.5503732885203448E-2</v>
      </c>
      <c r="AD29" s="33"/>
      <c r="AE29" s="33">
        <f t="shared" si="5"/>
        <v>773.25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341">
        <f t="shared" si="9"/>
        <v>5.2551952762702372E-2</v>
      </c>
      <c r="AW29" s="341"/>
      <c r="AX29" s="24">
        <f t="shared" si="10"/>
        <v>1144.55</v>
      </c>
      <c r="AY29" s="351"/>
      <c r="AZ29" s="1"/>
      <c r="BA29" s="66">
        <f t="shared" si="17"/>
        <v>133302</v>
      </c>
      <c r="BB29" s="67"/>
      <c r="BC29" s="67">
        <v>2209041</v>
      </c>
      <c r="BD29" s="67"/>
      <c r="BE29" s="67">
        <f t="shared" si="12"/>
        <v>31935</v>
      </c>
      <c r="BF29" s="67"/>
      <c r="BG29" s="67"/>
      <c r="BH29" s="67"/>
      <c r="BI29" s="183"/>
      <c r="BJ29" s="67"/>
      <c r="BK29" s="67"/>
      <c r="BL29" s="67"/>
      <c r="BM29" s="67"/>
      <c r="BN29" s="66"/>
      <c r="BO29" s="67"/>
      <c r="BP29" s="67">
        <f t="shared" si="16"/>
        <v>188401</v>
      </c>
      <c r="BQ29" s="67"/>
      <c r="BR29" s="74">
        <f t="shared" si="13"/>
        <v>8.528633013149145E-2</v>
      </c>
      <c r="BS29" s="67"/>
      <c r="BT29" s="86"/>
      <c r="BU29" s="183"/>
      <c r="BV29" s="1"/>
      <c r="BW29">
        <f t="shared" si="11"/>
        <v>20</v>
      </c>
    </row>
    <row r="30" spans="2:90" x14ac:dyDescent="0.3">
      <c r="B30" s="17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/>
      <c r="O30" s="16">
        <f t="shared" si="2"/>
        <v>22339.238095238095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17365</v>
      </c>
      <c r="AB30" s="33"/>
      <c r="AC30" s="46">
        <f t="shared" si="4"/>
        <v>3.7015799660644097E-2</v>
      </c>
      <c r="AD30" s="33"/>
      <c r="AE30" s="33">
        <f t="shared" si="5"/>
        <v>826.90476190476193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341">
        <f t="shared" si="9"/>
        <v>5.5268969398282755E-2</v>
      </c>
      <c r="AW30" s="341"/>
      <c r="AX30" s="24">
        <f t="shared" si="10"/>
        <v>1234.6666666666667</v>
      </c>
      <c r="AY30" s="351"/>
      <c r="AZ30" s="1"/>
      <c r="BA30" s="66">
        <f t="shared" si="17"/>
        <v>144055</v>
      </c>
      <c r="BB30" s="67"/>
      <c r="BC30" s="67">
        <v>2353096</v>
      </c>
      <c r="BD30" s="67"/>
      <c r="BE30" s="67">
        <f t="shared" si="12"/>
        <v>33536</v>
      </c>
      <c r="BF30" s="67"/>
      <c r="BG30" s="67"/>
      <c r="BH30" s="67"/>
      <c r="BI30" s="183"/>
      <c r="BJ30" s="67"/>
      <c r="BK30" s="67"/>
      <c r="BL30" s="67"/>
      <c r="BM30" s="67"/>
      <c r="BN30" s="66"/>
      <c r="BO30" s="67"/>
      <c r="BP30" s="67">
        <f t="shared" si="16"/>
        <v>221937</v>
      </c>
      <c r="BQ30" s="67"/>
      <c r="BR30" s="74">
        <f t="shared" si="13"/>
        <v>9.4317018940153735E-2</v>
      </c>
      <c r="BS30" s="67"/>
      <c r="BT30" s="86"/>
      <c r="BU30" s="183"/>
      <c r="BV30" s="1"/>
      <c r="BW30">
        <f t="shared" si="11"/>
        <v>21</v>
      </c>
    </row>
    <row r="31" spans="2:90" x14ac:dyDescent="0.3">
      <c r="B31" s="17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/>
      <c r="O31" s="16">
        <f t="shared" si="2"/>
        <v>22858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19400</v>
      </c>
      <c r="AB31" s="33"/>
      <c r="AC31" s="46">
        <f t="shared" si="4"/>
        <v>3.8578098775841362E-2</v>
      </c>
      <c r="AD31" s="33"/>
      <c r="AE31" s="33">
        <f t="shared" si="5"/>
        <v>881.81818181818187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341">
        <f t="shared" si="9"/>
        <v>5.4315576802233555E-2</v>
      </c>
      <c r="AW31" s="341"/>
      <c r="AX31" s="24">
        <f t="shared" si="10"/>
        <v>1241.5454545454545</v>
      </c>
      <c r="AY31" s="351"/>
      <c r="AZ31" s="1"/>
      <c r="BA31" s="66">
        <f t="shared" si="17"/>
        <v>185792</v>
      </c>
      <c r="BB31" s="67"/>
      <c r="BC31" s="67">
        <v>2538888</v>
      </c>
      <c r="BD31" s="67"/>
      <c r="BE31" s="67">
        <f t="shared" si="12"/>
        <v>33752</v>
      </c>
      <c r="BF31" s="67"/>
      <c r="BG31" s="67"/>
      <c r="BH31" s="67"/>
      <c r="BI31" s="183"/>
      <c r="BJ31" s="67"/>
      <c r="BK31" s="67"/>
      <c r="BL31" s="67"/>
      <c r="BM31" s="67"/>
      <c r="BN31" s="66"/>
      <c r="BO31" s="67"/>
      <c r="BP31" s="67">
        <f t="shared" si="16"/>
        <v>255689</v>
      </c>
      <c r="BQ31" s="67"/>
      <c r="BR31" s="74">
        <f t="shared" si="13"/>
        <v>0.10070905057647285</v>
      </c>
      <c r="BS31" s="67"/>
      <c r="BT31" s="86"/>
      <c r="BU31" s="183"/>
      <c r="BV31" s="1"/>
      <c r="BW31">
        <f t="shared" si="11"/>
        <v>22</v>
      </c>
    </row>
    <row r="32" spans="2:90" x14ac:dyDescent="0.3">
      <c r="B32" s="476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/>
      <c r="O32" s="16">
        <f t="shared" si="2"/>
        <v>23168.652173913044</v>
      </c>
      <c r="P32" s="41"/>
      <c r="Q32" s="17"/>
      <c r="R32" s="16"/>
      <c r="S32" s="60"/>
      <c r="T32" s="16"/>
      <c r="U32" s="41"/>
      <c r="V32" s="477"/>
      <c r="W32" s="34">
        <v>1830</v>
      </c>
      <c r="X32" s="33"/>
      <c r="Y32" s="33"/>
      <c r="Z32" s="33"/>
      <c r="AA32" s="33">
        <f t="shared" si="15"/>
        <v>21230</v>
      </c>
      <c r="AB32" s="33"/>
      <c r="AC32" s="46">
        <f t="shared" si="4"/>
        <v>3.9840188860885868E-2</v>
      </c>
      <c r="AD32" s="33"/>
      <c r="AE32" s="33">
        <f t="shared" si="5"/>
        <v>923.04347826086962</v>
      </c>
      <c r="AF32" s="50"/>
      <c r="AG32" s="33"/>
      <c r="AH32" s="33"/>
      <c r="AI32" s="231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341">
        <f t="shared" si="9"/>
        <v>5.7148058001910376E-2</v>
      </c>
      <c r="AW32" s="341"/>
      <c r="AX32" s="24">
        <f t="shared" si="10"/>
        <v>1324.0434782608695</v>
      </c>
      <c r="AY32" s="351"/>
      <c r="AZ32" s="1"/>
      <c r="BA32" s="66">
        <f t="shared" si="17"/>
        <v>131786</v>
      </c>
      <c r="BB32" s="67"/>
      <c r="BC32" s="67">
        <v>2670674</v>
      </c>
      <c r="BD32" s="67"/>
      <c r="BE32" s="67">
        <f t="shared" si="12"/>
        <v>30003</v>
      </c>
      <c r="BF32" s="67"/>
      <c r="BG32" s="67"/>
      <c r="BH32" s="67"/>
      <c r="BI32" s="183"/>
      <c r="BJ32" s="67"/>
      <c r="BK32" s="67"/>
      <c r="BL32" s="67"/>
      <c r="BM32" s="67"/>
      <c r="BN32" s="66"/>
      <c r="BO32" s="67"/>
      <c r="BP32" s="67">
        <f t="shared" si="16"/>
        <v>285692</v>
      </c>
      <c r="BQ32" s="67"/>
      <c r="BR32" s="74">
        <f t="shared" si="13"/>
        <v>0.10697374520439409</v>
      </c>
      <c r="BS32" s="67"/>
      <c r="BT32" s="86"/>
      <c r="BU32" s="183"/>
      <c r="BV32" s="1"/>
      <c r="BW32">
        <f t="shared" si="11"/>
        <v>23</v>
      </c>
    </row>
    <row r="33" spans="2:75" x14ac:dyDescent="0.3">
      <c r="B33" s="390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/>
      <c r="O33" s="16">
        <f t="shared" si="2"/>
        <v>23345.833333333332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91"/>
      <c r="W33" s="34">
        <v>1528</v>
      </c>
      <c r="X33" s="33"/>
      <c r="Y33" s="33"/>
      <c r="Z33" s="33"/>
      <c r="AA33" s="33">
        <f t="shared" si="15"/>
        <v>22758</v>
      </c>
      <c r="AB33" s="33"/>
      <c r="AC33" s="46">
        <f t="shared" si="4"/>
        <v>4.0617526325182937E-2</v>
      </c>
      <c r="AD33" s="33"/>
      <c r="AE33" s="33">
        <f t="shared" si="5"/>
        <v>948.25</v>
      </c>
      <c r="AF33" s="50"/>
      <c r="AG33" s="33">
        <f>SUM(W27:W33)</f>
        <v>12468</v>
      </c>
      <c r="AH33" s="33"/>
      <c r="AI33" s="231">
        <f>+(AG33-AG26)/AG26</f>
        <v>0.77278544006824967</v>
      </c>
      <c r="AJ33" s="50"/>
      <c r="AK33" s="391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341">
        <f t="shared" si="9"/>
        <v>5.8243797965375689E-2</v>
      </c>
      <c r="AW33" s="341"/>
      <c r="AX33" s="24">
        <f t="shared" si="10"/>
        <v>1359.75</v>
      </c>
      <c r="AY33" s="351"/>
      <c r="AZ33" s="391"/>
      <c r="BA33" s="66">
        <f t="shared" si="17"/>
        <v>161584</v>
      </c>
      <c r="BB33" s="67"/>
      <c r="BC33" s="67">
        <v>2832258</v>
      </c>
      <c r="BD33" s="67"/>
      <c r="BE33" s="67">
        <f t="shared" si="12"/>
        <v>27421</v>
      </c>
      <c r="BF33" s="67"/>
      <c r="BG33" s="67"/>
      <c r="BH33" s="67"/>
      <c r="BI33" s="183"/>
      <c r="BJ33" s="67"/>
      <c r="BK33" s="67"/>
      <c r="BL33" s="67"/>
      <c r="BM33" s="67"/>
      <c r="BN33" s="66"/>
      <c r="BO33" s="67"/>
      <c r="BP33" s="67">
        <f t="shared" si="16"/>
        <v>313113</v>
      </c>
      <c r="BQ33" s="67"/>
      <c r="BR33" s="74">
        <f t="shared" si="13"/>
        <v>0.1105524284863879</v>
      </c>
      <c r="BS33" s="67"/>
      <c r="BT33" s="86"/>
      <c r="BU33" s="183"/>
      <c r="BV33" s="1"/>
      <c r="BW33">
        <f t="shared" si="11"/>
        <v>24</v>
      </c>
    </row>
    <row r="34" spans="2:75" x14ac:dyDescent="0.3">
      <c r="B34" s="17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/>
      <c r="O34" s="16">
        <f t="shared" si="2"/>
        <v>23477.64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24293</v>
      </c>
      <c r="AB34" s="33"/>
      <c r="AC34" s="46">
        <f t="shared" si="4"/>
        <v>4.1389168587643389E-2</v>
      </c>
      <c r="AD34" s="33"/>
      <c r="AE34" s="33">
        <f t="shared" si="5"/>
        <v>971.72</v>
      </c>
      <c r="AF34" s="50"/>
      <c r="AG34" s="33"/>
      <c r="AH34" s="33"/>
      <c r="AI34" s="231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341">
        <f t="shared" si="9"/>
        <v>6.1767707486783167E-2</v>
      </c>
      <c r="AW34" s="341"/>
      <c r="AX34" s="24">
        <f t="shared" si="10"/>
        <v>1450.16</v>
      </c>
      <c r="AY34" s="351"/>
      <c r="AZ34" s="10"/>
      <c r="BA34" s="66">
        <f t="shared" si="17"/>
        <v>111697</v>
      </c>
      <c r="BB34" s="67"/>
      <c r="BC34" s="67">
        <v>2943955</v>
      </c>
      <c r="BD34" s="67"/>
      <c r="BE34" s="67">
        <f t="shared" si="12"/>
        <v>26641</v>
      </c>
      <c r="BF34" s="67"/>
      <c r="BG34" s="67"/>
      <c r="BH34" s="67"/>
      <c r="BI34" s="183"/>
      <c r="BJ34" s="67"/>
      <c r="BK34" s="67"/>
      <c r="BL34" s="67"/>
      <c r="BM34" s="67"/>
      <c r="BN34" s="66"/>
      <c r="BO34" s="67"/>
      <c r="BP34" s="67">
        <f t="shared" si="16"/>
        <v>339754</v>
      </c>
      <c r="BQ34" s="67"/>
      <c r="BR34" s="74">
        <f t="shared" si="13"/>
        <v>0.11540733469091749</v>
      </c>
      <c r="BS34" s="67"/>
      <c r="BT34" s="86"/>
      <c r="BU34" s="183"/>
      <c r="BV34" s="1"/>
      <c r="BW34">
        <f t="shared" si="11"/>
        <v>25</v>
      </c>
    </row>
    <row r="35" spans="2:75" x14ac:dyDescent="0.3">
      <c r="B35" s="171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0" t="s">
        <v>68</v>
      </c>
      <c r="J35" s="38">
        <f t="shared" si="1"/>
        <v>5.2339161857835798E-2</v>
      </c>
      <c r="K35" s="16"/>
      <c r="L35" s="16"/>
      <c r="M35" s="16"/>
      <c r="N35" s="16"/>
      <c r="O35" s="16">
        <f t="shared" si="2"/>
        <v>24763.538461538461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32895</v>
      </c>
      <c r="AB35" s="340" t="s">
        <v>68</v>
      </c>
      <c r="AC35" s="46">
        <f t="shared" si="4"/>
        <v>5.1090933941340559E-2</v>
      </c>
      <c r="AD35" s="33"/>
      <c r="AE35" s="33">
        <f t="shared" si="5"/>
        <v>1265.1923076923076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341">
        <f t="shared" si="9"/>
        <v>6.0293359343451598E-2</v>
      </c>
      <c r="AW35" s="341"/>
      <c r="AX35" s="24">
        <f t="shared" si="10"/>
        <v>1493.0769230769231</v>
      </c>
      <c r="AY35" s="351"/>
      <c r="AZ35" s="1"/>
      <c r="BA35" s="66">
        <f t="shared" si="17"/>
        <v>121064</v>
      </c>
      <c r="BB35" s="67"/>
      <c r="BC35" s="67">
        <v>3065019</v>
      </c>
      <c r="BD35" s="67"/>
      <c r="BE35" s="67">
        <f t="shared" si="12"/>
        <v>30720</v>
      </c>
      <c r="BF35" s="67"/>
      <c r="BG35" s="67"/>
      <c r="BH35" s="67"/>
      <c r="BI35" s="183"/>
      <c r="BJ35" s="67"/>
      <c r="BK35" s="67"/>
      <c r="BL35" s="67"/>
      <c r="BM35" s="67"/>
      <c r="BN35" s="66"/>
      <c r="BO35" s="67"/>
      <c r="BP35" s="67">
        <f t="shared" si="16"/>
        <v>370474</v>
      </c>
      <c r="BQ35" s="67"/>
      <c r="BR35" s="74">
        <f t="shared" si="13"/>
        <v>0.12087168138272553</v>
      </c>
      <c r="BS35" s="67"/>
      <c r="BT35" s="86"/>
      <c r="BU35" s="183"/>
      <c r="BV35" s="1"/>
      <c r="BW35">
        <f t="shared" si="11"/>
        <v>26</v>
      </c>
    </row>
    <row r="36" spans="2:75" x14ac:dyDescent="0.3">
      <c r="B36" s="17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/>
      <c r="O36" s="16">
        <f t="shared" si="2"/>
        <v>24970.14814814815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35513</v>
      </c>
      <c r="AB36" s="33"/>
      <c r="AC36" s="46">
        <f t="shared" si="4"/>
        <v>5.2674749404474086E-2</v>
      </c>
      <c r="AD36" s="33"/>
      <c r="AE36" s="33">
        <f t="shared" si="5"/>
        <v>1315.2962962962963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341">
        <f t="shared" si="9"/>
        <v>7.2235884626680152E-2</v>
      </c>
      <c r="AW36" s="341"/>
      <c r="AX36" s="24">
        <f t="shared" si="10"/>
        <v>1803.7407407407406</v>
      </c>
      <c r="AY36" s="351"/>
      <c r="AZ36" s="1"/>
      <c r="BA36" s="66">
        <f t="shared" si="17"/>
        <v>193860</v>
      </c>
      <c r="BB36" s="67"/>
      <c r="BC36" s="67">
        <v>3258879</v>
      </c>
      <c r="BD36" s="67"/>
      <c r="BE36" s="67">
        <f t="shared" si="12"/>
        <v>30342</v>
      </c>
      <c r="BF36" s="67"/>
      <c r="BG36" s="67"/>
      <c r="BH36" s="67"/>
      <c r="BI36" s="183"/>
      <c r="BJ36" s="67"/>
      <c r="BK36" s="67"/>
      <c r="BL36" s="67"/>
      <c r="BM36" s="67"/>
      <c r="BN36" s="66"/>
      <c r="BO36" s="67"/>
      <c r="BP36" s="67">
        <f t="shared" si="16"/>
        <v>400816</v>
      </c>
      <c r="BQ36" s="67"/>
      <c r="BR36" s="74">
        <f t="shared" si="13"/>
        <v>0.12299198589453612</v>
      </c>
      <c r="BS36" s="67"/>
      <c r="BT36" s="86"/>
      <c r="BU36" s="183"/>
      <c r="BV36" s="1"/>
      <c r="BW36">
        <f t="shared" si="11"/>
        <v>27</v>
      </c>
    </row>
    <row r="37" spans="2:75" x14ac:dyDescent="0.3">
      <c r="B37" s="171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/>
      <c r="O37" s="16">
        <f t="shared" si="2"/>
        <v>25134.321428571428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37689</v>
      </c>
      <c r="AB37" s="33"/>
      <c r="AC37" s="46">
        <f t="shared" si="4"/>
        <v>5.3553692233584985E-2</v>
      </c>
      <c r="AD37" s="33"/>
      <c r="AE37" s="33">
        <f t="shared" si="5"/>
        <v>1346.0357142857142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341">
        <f t="shared" si="9"/>
        <v>8.1715241395871607E-2</v>
      </c>
      <c r="AW37" s="341"/>
      <c r="AX37" s="24">
        <f t="shared" si="10"/>
        <v>2053.8571428571427</v>
      </c>
      <c r="AY37" s="351"/>
      <c r="AZ37" s="1"/>
      <c r="BA37" s="66">
        <f t="shared" si="17"/>
        <v>139261</v>
      </c>
      <c r="BB37" s="67"/>
      <c r="BC37" s="67">
        <v>3398140</v>
      </c>
      <c r="BD37" s="67"/>
      <c r="BE37" s="67">
        <f t="shared" si="12"/>
        <v>29567</v>
      </c>
      <c r="BF37" s="67"/>
      <c r="BG37" s="67"/>
      <c r="BH37" s="67"/>
      <c r="BI37" s="183"/>
      <c r="BJ37" s="67"/>
      <c r="BK37" s="67"/>
      <c r="BL37" s="67"/>
      <c r="BM37" s="67"/>
      <c r="BN37" s="66"/>
      <c r="BO37" s="67"/>
      <c r="BP37" s="67">
        <f t="shared" si="16"/>
        <v>430383</v>
      </c>
      <c r="BQ37" s="67"/>
      <c r="BR37" s="74">
        <f t="shared" si="13"/>
        <v>0.12665252167362145</v>
      </c>
      <c r="BS37" s="67"/>
      <c r="BT37" s="86"/>
      <c r="BU37" s="183"/>
      <c r="BV37" s="1"/>
      <c r="BW37">
        <f t="shared" si="11"/>
        <v>28</v>
      </c>
    </row>
    <row r="38" spans="2:75" x14ac:dyDescent="0.3">
      <c r="B38" s="171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/>
      <c r="O38" s="16">
        <f t="shared" si="2"/>
        <v>25376.758620689656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40217</v>
      </c>
      <c r="AB38" s="33"/>
      <c r="AC38" s="46">
        <f t="shared" si="4"/>
        <v>5.4648157559319822E-2</v>
      </c>
      <c r="AD38" s="33"/>
      <c r="AE38" s="33">
        <f t="shared" si="5"/>
        <v>1386.7931034482758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341">
        <f t="shared" si="9"/>
        <v>8.2222940893513743E-2</v>
      </c>
      <c r="AW38" s="341"/>
      <c r="AX38" s="24">
        <f t="shared" si="10"/>
        <v>2086.5517241379312</v>
      </c>
      <c r="AY38" s="351"/>
      <c r="AZ38" s="1"/>
      <c r="BA38" s="66">
        <f t="shared" si="17"/>
        <v>174117</v>
      </c>
      <c r="BB38" s="67"/>
      <c r="BC38" s="67">
        <v>3572257</v>
      </c>
      <c r="BD38" s="67"/>
      <c r="BE38" s="67">
        <f t="shared" si="12"/>
        <v>32165</v>
      </c>
      <c r="BF38" s="67"/>
      <c r="BG38" s="67"/>
      <c r="BH38" s="67"/>
      <c r="BI38" s="183"/>
      <c r="BJ38" s="67"/>
      <c r="BK38" s="67"/>
      <c r="BL38" s="67"/>
      <c r="BM38" s="67"/>
      <c r="BN38" s="66"/>
      <c r="BO38" s="67"/>
      <c r="BP38" s="67">
        <f t="shared" si="16"/>
        <v>462548</v>
      </c>
      <c r="BQ38" s="67"/>
      <c r="BR38" s="74">
        <f t="shared" si="13"/>
        <v>0.12948340502936939</v>
      </c>
      <c r="BS38" s="67"/>
      <c r="BT38" s="86"/>
      <c r="BU38" s="183"/>
      <c r="BV38" s="1"/>
      <c r="BW38">
        <f t="shared" si="11"/>
        <v>29</v>
      </c>
    </row>
    <row r="39" spans="2:75" x14ac:dyDescent="0.3">
      <c r="B39" s="29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/>
      <c r="O39" s="16">
        <f t="shared" si="2"/>
        <v>25499.433333333334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42084</v>
      </c>
      <c r="AB39" s="33"/>
      <c r="AC39" s="46">
        <f t="shared" si="4"/>
        <v>5.5012987216709393E-2</v>
      </c>
      <c r="AD39" s="33"/>
      <c r="AE39" s="33">
        <f t="shared" si="5"/>
        <v>1402.8</v>
      </c>
      <c r="AF39" s="50"/>
      <c r="AG39" s="33"/>
      <c r="AH39" s="33"/>
      <c r="AI39" s="231"/>
      <c r="AJ39" s="50"/>
      <c r="AK39" s="90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341">
        <f t="shared" si="9"/>
        <v>8.9242506042617936E-2</v>
      </c>
      <c r="AW39" s="341"/>
      <c r="AX39" s="24">
        <f t="shared" si="10"/>
        <v>2275.6333333333332</v>
      </c>
      <c r="AY39" s="351"/>
      <c r="AZ39" s="90"/>
      <c r="BA39" s="66">
        <f t="shared" si="17"/>
        <v>149888</v>
      </c>
      <c r="BB39" s="67"/>
      <c r="BC39" s="67">
        <v>3722145</v>
      </c>
      <c r="BD39" s="67"/>
      <c r="BE39" s="67">
        <f t="shared" si="12"/>
        <v>29057</v>
      </c>
      <c r="BF39" s="67"/>
      <c r="BG39" s="67"/>
      <c r="BH39" s="67"/>
      <c r="BI39" s="183"/>
      <c r="BJ39" s="67"/>
      <c r="BK39" s="67"/>
      <c r="BL39" s="67"/>
      <c r="BM39" s="156"/>
      <c r="BN39" s="66"/>
      <c r="BO39" s="67"/>
      <c r="BP39" s="67">
        <f t="shared" si="16"/>
        <v>491605</v>
      </c>
      <c r="BQ39" s="67"/>
      <c r="BR39" s="74">
        <f t="shared" si="13"/>
        <v>0.13207572515310392</v>
      </c>
      <c r="BS39" s="67"/>
      <c r="BT39" s="86"/>
      <c r="BU39" s="183"/>
      <c r="BV39" s="90"/>
      <c r="BW39" s="110">
        <f t="shared" si="11"/>
        <v>30</v>
      </c>
    </row>
    <row r="40" spans="2:75" x14ac:dyDescent="0.3">
      <c r="B40" s="390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/>
      <c r="O40" s="16">
        <f t="shared" si="2"/>
        <v>25521.483870967742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91"/>
      <c r="W40" s="34">
        <v>1570</v>
      </c>
      <c r="X40" s="33"/>
      <c r="Y40" s="33"/>
      <c r="Z40" s="33"/>
      <c r="AA40" s="33">
        <f t="shared" si="19"/>
        <v>43654</v>
      </c>
      <c r="AB40" s="33"/>
      <c r="AC40" s="46">
        <f t="shared" si="4"/>
        <v>5.5176789700265176E-2</v>
      </c>
      <c r="AD40" s="33"/>
      <c r="AE40" s="33">
        <f t="shared" si="5"/>
        <v>1408.1935483870968</v>
      </c>
      <c r="AF40" s="50"/>
      <c r="AG40" s="33">
        <f>SUM(W34:W40)</f>
        <v>14701</v>
      </c>
      <c r="AH40" s="33"/>
      <c r="AI40" s="231">
        <f>+(AG40-AG33)/AG33</f>
        <v>0.17909849213987808</v>
      </c>
      <c r="AJ40" s="50"/>
      <c r="AK40" s="391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341">
        <f t="shared" si="9"/>
        <v>8.9744756473357043E-2</v>
      </c>
      <c r="AW40" s="341"/>
      <c r="AX40" s="24">
        <f t="shared" si="10"/>
        <v>2290.4193548387098</v>
      </c>
      <c r="AY40" s="351"/>
      <c r="AZ40" s="391"/>
      <c r="BA40" s="66">
        <f t="shared" si="17"/>
        <v>139404</v>
      </c>
      <c r="BB40" s="67"/>
      <c r="BC40" s="67">
        <v>3861549</v>
      </c>
      <c r="BD40" s="67"/>
      <c r="BE40" s="67">
        <f t="shared" si="12"/>
        <v>26183</v>
      </c>
      <c r="BF40" s="67"/>
      <c r="BG40" s="156">
        <f t="shared" ref="BG40:BG51" si="20">+BE40/BA40</f>
        <v>0.18782100944018823</v>
      </c>
      <c r="BH40" s="67"/>
      <c r="BI40" s="183"/>
      <c r="BJ40" s="67"/>
      <c r="BK40" s="67">
        <f>SUM(BA34:BA40)</f>
        <v>1029291</v>
      </c>
      <c r="BL40" s="67"/>
      <c r="BM40" s="156">
        <f>+Q40/BK40</f>
        <v>0.19885047085809551</v>
      </c>
      <c r="BN40" s="66">
        <f t="shared" ref="BN40:BN68" si="21">+BC40/BW40</f>
        <v>124566.09677419355</v>
      </c>
      <c r="BO40" s="67"/>
      <c r="BP40" s="67">
        <f t="shared" si="16"/>
        <v>517788</v>
      </c>
      <c r="BQ40" s="67"/>
      <c r="BR40" s="74">
        <f t="shared" si="13"/>
        <v>0.13408815995860729</v>
      </c>
      <c r="BS40" s="67"/>
      <c r="BT40" s="86"/>
      <c r="BU40" s="183"/>
      <c r="BV40" s="1"/>
      <c r="BW40">
        <f t="shared" si="11"/>
        <v>31</v>
      </c>
    </row>
    <row r="41" spans="2:75" x14ac:dyDescent="0.3">
      <c r="B41" s="171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/>
      <c r="O41" s="16">
        <f t="shared" si="2"/>
        <v>25603.40625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45606</v>
      </c>
      <c r="AB41" s="33"/>
      <c r="AC41" s="46">
        <f t="shared" si="4"/>
        <v>5.5663980256533248E-2</v>
      </c>
      <c r="AD41" s="33"/>
      <c r="AE41" s="33">
        <f t="shared" si="5"/>
        <v>1425.1875</v>
      </c>
      <c r="AF41" s="50"/>
      <c r="AG41" s="33"/>
      <c r="AH41" s="33"/>
      <c r="AI41" s="231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341">
        <f t="shared" si="9"/>
        <v>8.8353722466126938E-2</v>
      </c>
      <c r="AW41" s="341"/>
      <c r="AX41" s="24">
        <f t="shared" si="10"/>
        <v>2262.15625</v>
      </c>
      <c r="AY41" s="351"/>
      <c r="AZ41" s="10"/>
      <c r="BA41" s="66">
        <f t="shared" si="17"/>
        <v>164811</v>
      </c>
      <c r="BB41" s="67"/>
      <c r="BC41" s="67">
        <v>4026360</v>
      </c>
      <c r="BD41" s="67"/>
      <c r="BE41" s="67">
        <f t="shared" si="12"/>
        <v>28143</v>
      </c>
      <c r="BF41" s="67"/>
      <c r="BG41" s="156">
        <f t="shared" si="20"/>
        <v>0.17075923330360232</v>
      </c>
      <c r="BH41" s="67"/>
      <c r="BI41" s="183"/>
      <c r="BJ41" s="67"/>
      <c r="BK41" s="67"/>
      <c r="BL41" s="67"/>
      <c r="BM41" s="67"/>
      <c r="BN41" s="66">
        <f t="shared" si="21"/>
        <v>125823.75</v>
      </c>
      <c r="BO41" s="67"/>
      <c r="BP41" s="67">
        <f t="shared" si="16"/>
        <v>545931</v>
      </c>
      <c r="BQ41" s="67"/>
      <c r="BR41" s="74">
        <f t="shared" si="13"/>
        <v>0.13558921705957738</v>
      </c>
      <c r="BS41" s="67"/>
      <c r="BT41" s="86"/>
      <c r="BU41" s="183"/>
      <c r="BV41" s="1"/>
      <c r="BW41">
        <f t="shared" si="11"/>
        <v>32</v>
      </c>
    </row>
    <row r="42" spans="2:75" x14ac:dyDescent="0.3">
      <c r="B42" s="171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/>
      <c r="O42" s="16">
        <f t="shared" ref="O42:O68" si="22">+H42/BW42</f>
        <v>25618.60606060606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48289</v>
      </c>
      <c r="AB42" s="33"/>
      <c r="AC42" s="46">
        <f t="shared" ref="AC42:AC68" si="23">+AA42/H42</f>
        <v>5.711876074917141E-2</v>
      </c>
      <c r="AD42" s="33"/>
      <c r="AE42" s="33">
        <f t="shared" ref="AE42:AE68" si="24">+AA42/BW42</f>
        <v>1463.3030303030303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341">
        <f t="shared" si="9"/>
        <v>9.8085671635435426E-2</v>
      </c>
      <c r="AW42" s="341"/>
      <c r="AX42" s="24">
        <f t="shared" si="10"/>
        <v>2512.818181818182</v>
      </c>
      <c r="AY42" s="351"/>
      <c r="AZ42" s="1"/>
      <c r="BA42" s="66">
        <f t="shared" si="17"/>
        <v>161032</v>
      </c>
      <c r="BB42" s="67"/>
      <c r="BC42" s="67">
        <v>4187392</v>
      </c>
      <c r="BD42" s="67"/>
      <c r="BE42" s="67">
        <f t="shared" si="12"/>
        <v>26105</v>
      </c>
      <c r="BF42" s="67"/>
      <c r="BG42" s="156">
        <f t="shared" si="20"/>
        <v>0.16211063639525064</v>
      </c>
      <c r="BH42" s="67"/>
      <c r="BI42" s="183"/>
      <c r="BJ42" s="67"/>
      <c r="BK42" s="67"/>
      <c r="BL42" s="67"/>
      <c r="BM42" s="67"/>
      <c r="BN42" s="66">
        <f t="shared" si="21"/>
        <v>126890.66666666667</v>
      </c>
      <c r="BO42" s="67"/>
      <c r="BP42" s="67">
        <f t="shared" si="16"/>
        <v>572036</v>
      </c>
      <c r="BQ42" s="67"/>
      <c r="BR42" s="74">
        <f t="shared" si="13"/>
        <v>0.13660913523262211</v>
      </c>
      <c r="BS42" s="67"/>
      <c r="BT42" s="86"/>
      <c r="BU42" s="183"/>
      <c r="BV42" s="1"/>
      <c r="BW42">
        <f t="shared" si="11"/>
        <v>33</v>
      </c>
    </row>
    <row r="43" spans="2:75" x14ac:dyDescent="0.3">
      <c r="B43" s="171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/>
      <c r="O43" s="16">
        <f t="shared" si="22"/>
        <v>25753.647058823528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50647</v>
      </c>
      <c r="AB43" s="33"/>
      <c r="AC43" s="46">
        <f t="shared" si="23"/>
        <v>5.7841036792047731E-2</v>
      </c>
      <c r="AD43" s="33"/>
      <c r="AE43" s="33">
        <f t="shared" si="24"/>
        <v>1489.6176470588234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341">
        <f t="shared" si="9"/>
        <v>9.5988689209066905E-2</v>
      </c>
      <c r="AW43" s="341"/>
      <c r="AX43" s="24">
        <f t="shared" si="10"/>
        <v>2472.0588235294117</v>
      </c>
      <c r="AY43" s="351"/>
      <c r="AZ43" s="1"/>
      <c r="BA43" s="66">
        <f t="shared" si="17"/>
        <v>137950</v>
      </c>
      <c r="BB43" s="67"/>
      <c r="BC43" s="67">
        <v>4325342</v>
      </c>
      <c r="BD43" s="67"/>
      <c r="BE43" s="67">
        <f t="shared" si="12"/>
        <v>30210</v>
      </c>
      <c r="BF43" s="67"/>
      <c r="BG43" s="156">
        <f t="shared" si="20"/>
        <v>0.21899238854657485</v>
      </c>
      <c r="BH43" s="67"/>
      <c r="BI43" s="183"/>
      <c r="BJ43" s="67"/>
      <c r="BK43" s="67"/>
      <c r="BL43" s="67"/>
      <c r="BM43" s="67"/>
      <c r="BN43" s="66">
        <f t="shared" si="21"/>
        <v>127215.94117647059</v>
      </c>
      <c r="BO43" s="67"/>
      <c r="BP43" s="67">
        <f t="shared" si="16"/>
        <v>602246</v>
      </c>
      <c r="BQ43" s="67"/>
      <c r="BR43" s="74">
        <f t="shared" si="13"/>
        <v>0.13923661990196382</v>
      </c>
      <c r="BS43" s="67"/>
      <c r="BT43" s="86"/>
      <c r="BU43" s="183"/>
      <c r="BV43" s="1"/>
      <c r="BW43">
        <f t="shared" si="11"/>
        <v>34</v>
      </c>
    </row>
    <row r="44" spans="2:75" x14ac:dyDescent="0.3">
      <c r="B44" s="171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/>
      <c r="O44" s="16">
        <f t="shared" si="22"/>
        <v>25929.257142857143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52987</v>
      </c>
      <c r="AB44" s="33"/>
      <c r="AC44" s="46">
        <f t="shared" si="23"/>
        <v>5.8386334686465591E-2</v>
      </c>
      <c r="AD44" s="33"/>
      <c r="AE44" s="33">
        <f t="shared" si="24"/>
        <v>1513.9142857142858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341">
        <f t="shared" ref="AV44:AV68" si="25">+AP44/H44</f>
        <v>9.4677385942410333E-2</v>
      </c>
      <c r="AW44" s="341"/>
      <c r="AX44" s="24">
        <f t="shared" ref="AX44:AX68" si="26">+AP44/BW44</f>
        <v>2454.9142857142856</v>
      </c>
      <c r="AY44" s="351"/>
      <c r="AZ44" s="1"/>
      <c r="BA44" s="66">
        <f t="shared" si="17"/>
        <v>371362</v>
      </c>
      <c r="BB44" s="67"/>
      <c r="BC44" s="67">
        <v>4696704</v>
      </c>
      <c r="BD44" s="67"/>
      <c r="BE44" s="67">
        <f t="shared" si="12"/>
        <v>31900</v>
      </c>
      <c r="BF44" s="67"/>
      <c r="BG44" s="156">
        <f t="shared" si="20"/>
        <v>8.590001130971936E-2</v>
      </c>
      <c r="BH44" s="67"/>
      <c r="BI44" s="183"/>
      <c r="BJ44" s="67"/>
      <c r="BK44" s="67"/>
      <c r="BL44" s="67"/>
      <c r="BM44" s="67"/>
      <c r="BN44" s="66">
        <f t="shared" si="21"/>
        <v>134191.54285714286</v>
      </c>
      <c r="BO44" s="67"/>
      <c r="BP44" s="67">
        <f t="shared" si="16"/>
        <v>634146</v>
      </c>
      <c r="BQ44" s="67"/>
      <c r="BR44" s="74">
        <f t="shared" si="13"/>
        <v>0.13501936677295398</v>
      </c>
      <c r="BS44" s="67"/>
      <c r="BT44" s="86"/>
      <c r="BU44" s="183"/>
      <c r="BV44" s="1"/>
      <c r="BW44">
        <f t="shared" si="11"/>
        <v>35</v>
      </c>
    </row>
    <row r="45" spans="2:75" x14ac:dyDescent="0.3">
      <c r="B45" s="171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/>
      <c r="O45" s="16">
        <f t="shared" si="22"/>
        <v>26285.777777777777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54944</v>
      </c>
      <c r="AB45" s="33"/>
      <c r="AC45" s="46">
        <f t="shared" si="23"/>
        <v>5.8062661684392065E-2</v>
      </c>
      <c r="AD45" s="33"/>
      <c r="AE45" s="33">
        <f t="shared" si="24"/>
        <v>1526.2222222222222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341">
        <f t="shared" si="25"/>
        <v>0.11670020120724346</v>
      </c>
      <c r="AW45" s="341"/>
      <c r="AX45" s="24">
        <f t="shared" si="26"/>
        <v>3067.5555555555557</v>
      </c>
      <c r="AY45" s="351"/>
      <c r="AZ45" s="1"/>
      <c r="BA45" s="66">
        <f t="shared" si="17"/>
        <v>318898</v>
      </c>
      <c r="BB45" s="67"/>
      <c r="BC45" s="67">
        <v>5015602</v>
      </c>
      <c r="BD45" s="67"/>
      <c r="BE45" s="67">
        <f t="shared" si="12"/>
        <v>38764</v>
      </c>
      <c r="BF45" s="67"/>
      <c r="BG45" s="156">
        <f t="shared" si="20"/>
        <v>0.12155610884985167</v>
      </c>
      <c r="BH45" s="67"/>
      <c r="BI45" s="183"/>
      <c r="BJ45" s="67"/>
      <c r="BK45" s="67"/>
      <c r="BL45" s="67"/>
      <c r="BM45" s="67"/>
      <c r="BN45" s="66">
        <f t="shared" si="21"/>
        <v>139322.27777777778</v>
      </c>
      <c r="BO45" s="67"/>
      <c r="BP45" s="67">
        <f t="shared" si="16"/>
        <v>672910</v>
      </c>
      <c r="BQ45" s="67"/>
      <c r="BR45" s="74">
        <f t="shared" si="13"/>
        <v>0.13416335666187229</v>
      </c>
      <c r="BS45" s="67"/>
      <c r="BT45" s="86"/>
      <c r="BU45" s="183"/>
      <c r="BV45" s="1"/>
      <c r="BW45">
        <f t="shared" si="11"/>
        <v>36</v>
      </c>
    </row>
    <row r="46" spans="2:75" x14ac:dyDescent="0.3">
      <c r="B46" s="476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/>
      <c r="O46" s="16">
        <f t="shared" si="22"/>
        <v>26532.62162162162</v>
      </c>
      <c r="P46" s="41"/>
      <c r="Q46" s="17"/>
      <c r="R46" s="16"/>
      <c r="S46" s="60"/>
      <c r="T46" s="16"/>
      <c r="U46" s="41"/>
      <c r="V46" s="477"/>
      <c r="W46" s="34">
        <v>2065</v>
      </c>
      <c r="X46" s="33"/>
      <c r="Y46" s="33"/>
      <c r="Z46" s="33"/>
      <c r="AA46" s="33">
        <f t="shared" si="19"/>
        <v>57009</v>
      </c>
      <c r="AB46" s="33"/>
      <c r="AC46" s="46">
        <f t="shared" si="23"/>
        <v>5.8071298259052856E-2</v>
      </c>
      <c r="AD46" s="33"/>
      <c r="AE46" s="33">
        <f t="shared" si="24"/>
        <v>1540.7837837837837</v>
      </c>
      <c r="AF46" s="50"/>
      <c r="AG46" s="33"/>
      <c r="AH46" s="33"/>
      <c r="AI46" s="231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341">
        <f t="shared" si="25"/>
        <v>0.12036381527278506</v>
      </c>
      <c r="AW46" s="341"/>
      <c r="AX46" s="24">
        <f t="shared" si="26"/>
        <v>3193.5675675675675</v>
      </c>
      <c r="AY46" s="351"/>
      <c r="AZ46" s="1"/>
      <c r="BA46" s="66">
        <f t="shared" si="17"/>
        <v>263635</v>
      </c>
      <c r="BB46" s="67"/>
      <c r="BC46" s="67">
        <v>5279237</v>
      </c>
      <c r="BD46" s="67"/>
      <c r="BE46" s="67">
        <f t="shared" si="12"/>
        <v>35419</v>
      </c>
      <c r="BF46" s="67"/>
      <c r="BG46" s="156">
        <f t="shared" si="20"/>
        <v>0.13434862594116867</v>
      </c>
      <c r="BH46" s="67"/>
      <c r="BI46" s="183"/>
      <c r="BJ46" s="67"/>
      <c r="BK46" s="67"/>
      <c r="BL46" s="67"/>
      <c r="BM46" s="156"/>
      <c r="BN46" s="66">
        <f t="shared" si="21"/>
        <v>142682.08108108109</v>
      </c>
      <c r="BO46" s="67"/>
      <c r="BP46" s="67">
        <f t="shared" si="16"/>
        <v>708329</v>
      </c>
      <c r="BQ46" s="67"/>
      <c r="BR46" s="74">
        <f t="shared" si="13"/>
        <v>0.13417260865537955</v>
      </c>
      <c r="BS46" s="67"/>
      <c r="BT46" s="86"/>
      <c r="BU46" s="183"/>
      <c r="BV46" s="1"/>
      <c r="BW46">
        <f t="shared" si="11"/>
        <v>37</v>
      </c>
    </row>
    <row r="47" spans="2:75" x14ac:dyDescent="0.3">
      <c r="B47" s="390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/>
      <c r="O47" s="16">
        <f t="shared" si="22"/>
        <v>26532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91"/>
      <c r="W47" s="34">
        <v>1156</v>
      </c>
      <c r="X47" s="33"/>
      <c r="Y47" s="33"/>
      <c r="Z47" s="33"/>
      <c r="AA47" s="33">
        <f t="shared" si="19"/>
        <v>58165</v>
      </c>
      <c r="AB47" s="33"/>
      <c r="AC47" s="46">
        <f t="shared" si="23"/>
        <v>5.7691010656446634E-2</v>
      </c>
      <c r="AD47" s="33"/>
      <c r="AE47" s="33">
        <f t="shared" si="24"/>
        <v>1530.6578947368421</v>
      </c>
      <c r="AF47" s="50"/>
      <c r="AG47" s="33">
        <f>SUM(W41:W47)</f>
        <v>14511</v>
      </c>
      <c r="AH47" s="33"/>
      <c r="AI47" s="231">
        <f>+(AG47-AG40)/AG40</f>
        <v>-1.2924290864567036E-2</v>
      </c>
      <c r="AJ47" s="50"/>
      <c r="AK47" s="391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341">
        <f t="shared" si="25"/>
        <v>0.1178130479976513</v>
      </c>
      <c r="AW47" s="341"/>
      <c r="AX47" s="24">
        <f t="shared" si="26"/>
        <v>3125.8157894736842</v>
      </c>
      <c r="AY47" s="351"/>
      <c r="AZ47" s="391"/>
      <c r="BA47" s="66">
        <f t="shared" si="17"/>
        <v>191227</v>
      </c>
      <c r="BB47" s="67"/>
      <c r="BC47" s="67">
        <v>5470464</v>
      </c>
      <c r="BD47" s="67"/>
      <c r="BE47" s="67">
        <f t="shared" si="12"/>
        <v>26509</v>
      </c>
      <c r="BF47" s="67"/>
      <c r="BG47" s="156">
        <f t="shared" si="20"/>
        <v>0.13862582166744236</v>
      </c>
      <c r="BH47" s="67"/>
      <c r="BI47" s="183"/>
      <c r="BJ47" s="67"/>
      <c r="BK47" s="67">
        <f>SUM(BA41:BA47)</f>
        <v>1608915</v>
      </c>
      <c r="BL47" s="67"/>
      <c r="BM47" s="156">
        <f>+Q47/BK47</f>
        <v>0.13490457855138402</v>
      </c>
      <c r="BN47" s="66">
        <f t="shared" si="21"/>
        <v>143959.57894736843</v>
      </c>
      <c r="BO47" s="67"/>
      <c r="BP47" s="67">
        <f t="shared" si="16"/>
        <v>734838</v>
      </c>
      <c r="BQ47" s="67"/>
      <c r="BR47" s="74">
        <f t="shared" si="13"/>
        <v>0.13432827635827602</v>
      </c>
      <c r="BS47" s="67"/>
      <c r="BT47" s="86"/>
      <c r="BU47" s="183"/>
      <c r="BV47" s="1"/>
      <c r="BW47">
        <f t="shared" si="11"/>
        <v>38</v>
      </c>
    </row>
    <row r="48" spans="2:75" x14ac:dyDescent="0.3">
      <c r="B48" s="171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/>
      <c r="O48" s="16">
        <f t="shared" si="22"/>
        <v>26446.461538461539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59548</v>
      </c>
      <c r="AB48" s="33"/>
      <c r="AC48" s="46">
        <f t="shared" si="23"/>
        <v>5.7734445594970776E-2</v>
      </c>
      <c r="AD48" s="33"/>
      <c r="AE48" s="33">
        <f t="shared" si="24"/>
        <v>1526.8717948717949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341">
        <f t="shared" si="25"/>
        <v>0.13360810229084014</v>
      </c>
      <c r="AW48" s="341"/>
      <c r="AX48" s="24">
        <f t="shared" si="26"/>
        <v>3533.4615384615386</v>
      </c>
      <c r="AY48" s="351"/>
      <c r="AZ48" s="10"/>
      <c r="BA48" s="66">
        <f t="shared" si="17"/>
        <v>202776</v>
      </c>
      <c r="BB48" s="67"/>
      <c r="BC48" s="67">
        <v>5673240</v>
      </c>
      <c r="BD48" s="67"/>
      <c r="BE48" s="67">
        <f t="shared" si="12"/>
        <v>23196</v>
      </c>
      <c r="BF48" s="67"/>
      <c r="BG48" s="156">
        <f t="shared" si="20"/>
        <v>0.11439223576754645</v>
      </c>
      <c r="BH48" s="67"/>
      <c r="BI48" s="183"/>
      <c r="BJ48" s="67"/>
      <c r="BK48" s="67"/>
      <c r="BL48" s="67"/>
      <c r="BM48" s="67"/>
      <c r="BN48" s="66">
        <f t="shared" si="21"/>
        <v>145467.69230769231</v>
      </c>
      <c r="BO48" s="67"/>
      <c r="BP48" s="67">
        <f t="shared" si="16"/>
        <v>758034</v>
      </c>
      <c r="BQ48" s="67"/>
      <c r="BR48" s="74">
        <f t="shared" si="13"/>
        <v>0.133615711656831</v>
      </c>
      <c r="BS48" s="67"/>
      <c r="BT48" s="86"/>
      <c r="BU48" s="183"/>
      <c r="BV48" s="1"/>
      <c r="BW48">
        <f t="shared" si="11"/>
        <v>39</v>
      </c>
    </row>
    <row r="49" spans="2:79" x14ac:dyDescent="0.3">
      <c r="B49" s="171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/>
      <c r="O49" s="16">
        <f t="shared" si="22"/>
        <v>26420.525000000001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62018</v>
      </c>
      <c r="AB49" s="33"/>
      <c r="AC49" s="46">
        <f t="shared" si="23"/>
        <v>5.8683542435284688E-2</v>
      </c>
      <c r="AD49" s="33"/>
      <c r="AE49" s="33">
        <f t="shared" si="24"/>
        <v>1550.45</v>
      </c>
      <c r="AF49" s="50"/>
      <c r="AG49" s="33"/>
      <c r="AH49" s="231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341">
        <f t="shared" si="25"/>
        <v>0.13431886762280462</v>
      </c>
      <c r="AW49" s="341"/>
      <c r="AX49" s="24">
        <f t="shared" si="26"/>
        <v>3548.7750000000001</v>
      </c>
      <c r="AY49" s="351"/>
      <c r="AZ49" s="1"/>
      <c r="BA49" s="66">
        <f t="shared" si="17"/>
        <v>187926</v>
      </c>
      <c r="BB49" s="67"/>
      <c r="BC49" s="67">
        <v>5861166</v>
      </c>
      <c r="BD49" s="67"/>
      <c r="BE49" s="67">
        <f t="shared" si="12"/>
        <v>25409</v>
      </c>
      <c r="BF49" s="67"/>
      <c r="BG49" s="156">
        <f t="shared" si="20"/>
        <v>0.13520747528282409</v>
      </c>
      <c r="BH49" s="67"/>
      <c r="BI49" s="183"/>
      <c r="BJ49" s="67"/>
      <c r="BK49" s="67"/>
      <c r="BL49" s="67"/>
      <c r="BM49" s="67"/>
      <c r="BN49" s="66">
        <f t="shared" si="21"/>
        <v>146529.15</v>
      </c>
      <c r="BO49" s="67"/>
      <c r="BP49" s="67">
        <f t="shared" si="16"/>
        <v>783443</v>
      </c>
      <c r="BQ49" s="67"/>
      <c r="BR49" s="74">
        <f t="shared" si="13"/>
        <v>0.13366674822040528</v>
      </c>
      <c r="BS49" s="67"/>
      <c r="BT49" s="86"/>
      <c r="BU49" s="183"/>
      <c r="BV49" s="1"/>
      <c r="BW49">
        <f t="shared" si="11"/>
        <v>40</v>
      </c>
    </row>
    <row r="50" spans="2:79" x14ac:dyDescent="0.3">
      <c r="B50" s="171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/>
      <c r="O50" s="16">
        <f t="shared" si="22"/>
        <v>26469.512195121952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64408</v>
      </c>
      <c r="AB50" s="33"/>
      <c r="AC50" s="46">
        <f t="shared" si="23"/>
        <v>5.9348537203409352E-2</v>
      </c>
      <c r="AD50" s="33"/>
      <c r="AE50" s="33">
        <f t="shared" si="24"/>
        <v>1570.9268292682927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341">
        <f t="shared" si="25"/>
        <v>0.13583137525915687</v>
      </c>
      <c r="AW50" s="341"/>
      <c r="AX50" s="24">
        <f t="shared" si="26"/>
        <v>3595.3902439024391</v>
      </c>
      <c r="AY50" s="351"/>
      <c r="AZ50" s="1"/>
      <c r="BA50" s="66">
        <f t="shared" si="17"/>
        <v>278745</v>
      </c>
      <c r="BB50" s="67"/>
      <c r="BC50" s="67">
        <v>6139911</v>
      </c>
      <c r="BD50" s="67"/>
      <c r="BE50" s="67">
        <f t="shared" si="12"/>
        <v>28429</v>
      </c>
      <c r="BF50" s="67"/>
      <c r="BG50" s="156">
        <f t="shared" si="20"/>
        <v>0.10198927335019463</v>
      </c>
      <c r="BH50" s="67"/>
      <c r="BI50" s="183"/>
      <c r="BJ50" s="67"/>
      <c r="BK50" s="67"/>
      <c r="BL50" s="67"/>
      <c r="BM50" s="67"/>
      <c r="BN50" s="66">
        <f t="shared" si="21"/>
        <v>149753.92682926828</v>
      </c>
      <c r="BO50" s="67"/>
      <c r="BP50" s="67">
        <f t="shared" si="16"/>
        <v>811872</v>
      </c>
      <c r="BQ50" s="67"/>
      <c r="BR50" s="74">
        <f t="shared" si="13"/>
        <v>0.13222862676673977</v>
      </c>
      <c r="BS50" s="67"/>
      <c r="BT50" s="86"/>
      <c r="BU50" s="183"/>
      <c r="BV50" s="1"/>
      <c r="BW50">
        <f t="shared" si="11"/>
        <v>41</v>
      </c>
    </row>
    <row r="51" spans="2:79" x14ac:dyDescent="0.3">
      <c r="B51" s="171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/>
      <c r="O51" s="16">
        <f t="shared" si="22"/>
        <v>26573.309523809523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66609</v>
      </c>
      <c r="AB51" s="33"/>
      <c r="AC51" s="46">
        <f t="shared" si="23"/>
        <v>5.9681259122338112E-2</v>
      </c>
      <c r="AD51" s="33"/>
      <c r="AE51" s="33">
        <f t="shared" si="24"/>
        <v>1585.9285714285713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341">
        <f t="shared" si="25"/>
        <v>0.1364813781103309</v>
      </c>
      <c r="AW51" s="341"/>
      <c r="AX51" s="24">
        <f t="shared" si="26"/>
        <v>3626.7619047619046</v>
      </c>
      <c r="AY51" s="351"/>
      <c r="AZ51" s="1"/>
      <c r="BA51" s="66">
        <f t="shared" si="17"/>
        <v>236535</v>
      </c>
      <c r="BB51" s="67"/>
      <c r="BC51" s="67">
        <v>6376446</v>
      </c>
      <c r="BD51" s="67"/>
      <c r="BE51" s="67">
        <f t="shared" si="12"/>
        <v>30829</v>
      </c>
      <c r="BF51" s="67"/>
      <c r="BG51" s="156">
        <f t="shared" si="20"/>
        <v>0.13033589109434121</v>
      </c>
      <c r="BH51" s="67"/>
      <c r="BI51" s="183"/>
      <c r="BJ51" s="67"/>
      <c r="BK51" s="67">
        <f>SUM(BA22:BA51)</f>
        <v>6376446</v>
      </c>
      <c r="BL51" s="67"/>
      <c r="BM51" s="67"/>
      <c r="BN51" s="66">
        <f t="shared" si="21"/>
        <v>151820.14285714287</v>
      </c>
      <c r="BO51" s="67"/>
      <c r="BP51" s="67">
        <f t="shared" si="16"/>
        <v>842701</v>
      </c>
      <c r="BQ51" s="67"/>
      <c r="BR51" s="74">
        <f t="shared" si="13"/>
        <v>0.13215841551861335</v>
      </c>
      <c r="BS51" s="67"/>
      <c r="BT51" s="86"/>
      <c r="BU51" s="183"/>
      <c r="BV51" s="1"/>
      <c r="BW51">
        <f t="shared" si="11"/>
        <v>42</v>
      </c>
    </row>
    <row r="52" spans="2:79" x14ac:dyDescent="0.3">
      <c r="B52" s="171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/>
      <c r="O52" s="16">
        <f t="shared" si="22"/>
        <v>26792.697674418603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68506</v>
      </c>
      <c r="AB52" s="33"/>
      <c r="AC52" s="46">
        <f t="shared" si="23"/>
        <v>5.9462574842503078E-2</v>
      </c>
      <c r="AD52" s="33"/>
      <c r="AE52" s="33">
        <f t="shared" si="24"/>
        <v>1593.1627906976744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341">
        <f t="shared" si="25"/>
        <v>0.14023519077568863</v>
      </c>
      <c r="AW52" s="341"/>
      <c r="AX52" s="24">
        <f t="shared" si="26"/>
        <v>3757.2790697674418</v>
      </c>
      <c r="AY52" s="351"/>
      <c r="AZ52" s="503"/>
      <c r="BA52" s="66">
        <f t="shared" ref="BA52:BA64" si="32">+BC52-BC51</f>
        <v>323432</v>
      </c>
      <c r="BB52" s="67"/>
      <c r="BC52" s="67">
        <v>6699878</v>
      </c>
      <c r="BD52" s="67"/>
      <c r="BE52" s="67">
        <f t="shared" si="12"/>
        <v>36007</v>
      </c>
      <c r="BF52" s="67"/>
      <c r="BG52" s="156">
        <f t="shared" ref="BG52:BG64" si="33">+BE52/BA52</f>
        <v>0.11132788344999876</v>
      </c>
      <c r="BH52" s="67"/>
      <c r="BI52" s="183"/>
      <c r="BJ52" s="67"/>
      <c r="BK52" s="67"/>
      <c r="BL52" s="67"/>
      <c r="BM52" s="67"/>
      <c r="BN52" s="66">
        <f t="shared" si="21"/>
        <v>155811.11627906977</v>
      </c>
      <c r="BO52" s="67"/>
      <c r="BP52" s="67">
        <f t="shared" si="16"/>
        <v>878708</v>
      </c>
      <c r="BQ52" s="67"/>
      <c r="BR52" s="74">
        <f t="shared" si="13"/>
        <v>0.13115283591731072</v>
      </c>
      <c r="BS52" s="67"/>
      <c r="BT52" s="86"/>
      <c r="BU52" s="183"/>
      <c r="BV52" s="1"/>
      <c r="BW52">
        <f t="shared" si="11"/>
        <v>43</v>
      </c>
    </row>
    <row r="53" spans="2:79" x14ac:dyDescent="0.3">
      <c r="B53" s="476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/>
      <c r="O53" s="16">
        <f t="shared" si="22"/>
        <v>26859.772727272728</v>
      </c>
      <c r="P53" s="41"/>
      <c r="Q53" s="17"/>
      <c r="R53" s="16"/>
      <c r="S53" s="60"/>
      <c r="T53" s="16"/>
      <c r="U53" s="41"/>
      <c r="V53" s="477"/>
      <c r="W53" s="34">
        <v>1691</v>
      </c>
      <c r="X53" s="33"/>
      <c r="Y53" s="33"/>
      <c r="Z53" s="33"/>
      <c r="AA53" s="33">
        <f t="shared" si="29"/>
        <v>70197</v>
      </c>
      <c r="AB53" s="33"/>
      <c r="AC53" s="46">
        <f t="shared" si="23"/>
        <v>5.9396867569785843E-2</v>
      </c>
      <c r="AD53" s="33"/>
      <c r="AE53" s="33">
        <f t="shared" si="24"/>
        <v>1595.3863636363637</v>
      </c>
      <c r="AF53" s="50"/>
      <c r="AG53" s="33"/>
      <c r="AH53" s="33">
        <f t="shared" ref="AH53:AH82" si="35">+W53</f>
        <v>1691</v>
      </c>
      <c r="AI53" s="231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341">
        <f t="shared" si="25"/>
        <v>0.14665222578543446</v>
      </c>
      <c r="AW53" s="341"/>
      <c r="AX53" s="24">
        <f t="shared" si="26"/>
        <v>3939.0454545454545</v>
      </c>
      <c r="AY53" s="351"/>
      <c r="AZ53" s="1"/>
      <c r="BA53" s="66">
        <f t="shared" si="32"/>
        <v>231254</v>
      </c>
      <c r="BB53" s="67"/>
      <c r="BC53" s="67">
        <v>6931132</v>
      </c>
      <c r="BD53" s="67"/>
      <c r="BE53" s="67">
        <f t="shared" si="12"/>
        <v>29744</v>
      </c>
      <c r="BF53" s="67"/>
      <c r="BG53" s="156">
        <f t="shared" si="33"/>
        <v>0.12862047791605766</v>
      </c>
      <c r="BH53" s="67"/>
      <c r="BI53" s="183"/>
      <c r="BJ53" s="67"/>
      <c r="BK53" s="67"/>
      <c r="BL53" s="67"/>
      <c r="BM53" s="156"/>
      <c r="BN53" s="66">
        <f t="shared" si="21"/>
        <v>157525.72727272726</v>
      </c>
      <c r="BO53" s="67"/>
      <c r="BP53" s="67">
        <f t="shared" si="16"/>
        <v>908452</v>
      </c>
      <c r="BQ53" s="67"/>
      <c r="BR53" s="74">
        <f t="shared" si="13"/>
        <v>0.13106834496875835</v>
      </c>
      <c r="BS53" s="67"/>
      <c r="BT53" s="86"/>
      <c r="BU53" s="183"/>
      <c r="BV53" s="1"/>
      <c r="BW53">
        <f t="shared" si="11"/>
        <v>44</v>
      </c>
    </row>
    <row r="54" spans="2:79" x14ac:dyDescent="0.3">
      <c r="B54" s="390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/>
      <c r="O54" s="16">
        <f t="shared" si="22"/>
        <v>26870.62222222222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91"/>
      <c r="W54" s="34">
        <v>1153</v>
      </c>
      <c r="X54" s="33"/>
      <c r="Y54" s="33"/>
      <c r="Z54" s="33"/>
      <c r="AA54" s="33">
        <f t="shared" si="29"/>
        <v>71350</v>
      </c>
      <c r="AB54" s="33"/>
      <c r="AC54" s="46">
        <f t="shared" si="23"/>
        <v>5.9007027914831395E-2</v>
      </c>
      <c r="AD54" s="33"/>
      <c r="AE54" s="33">
        <f t="shared" si="24"/>
        <v>1585.5555555555557</v>
      </c>
      <c r="AF54" s="50"/>
      <c r="AG54" s="33">
        <f>SUM(W48:W54)</f>
        <v>13185</v>
      </c>
      <c r="AH54" s="33">
        <f t="shared" si="35"/>
        <v>1153</v>
      </c>
      <c r="AI54" s="231">
        <f>+(AG54-AG47)/AG47</f>
        <v>-9.1378953897043619E-2</v>
      </c>
      <c r="AJ54" s="50"/>
      <c r="AK54" s="391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341">
        <f t="shared" si="25"/>
        <v>0.14742494487991015</v>
      </c>
      <c r="AW54" s="341"/>
      <c r="AX54" s="24">
        <f t="shared" si="26"/>
        <v>3961.4</v>
      </c>
      <c r="AY54" s="351"/>
      <c r="AZ54" s="391"/>
      <c r="BA54" s="66">
        <f t="shared" si="32"/>
        <v>265608</v>
      </c>
      <c r="BB54" s="67"/>
      <c r="BC54" s="67">
        <v>7196740</v>
      </c>
      <c r="BD54" s="67"/>
      <c r="BE54" s="67">
        <f t="shared" si="12"/>
        <v>27348</v>
      </c>
      <c r="BF54" s="67"/>
      <c r="BG54" s="156">
        <f t="shared" si="33"/>
        <v>0.10296376615162194</v>
      </c>
      <c r="BH54" s="67"/>
      <c r="BI54" s="183"/>
      <c r="BJ54" s="67"/>
      <c r="BK54" s="67">
        <f>SUM(BA48:BA54)</f>
        <v>1726276</v>
      </c>
      <c r="BL54" s="67"/>
      <c r="BM54" s="156">
        <f>+Q54/BK54</f>
        <v>0.11641359782560842</v>
      </c>
      <c r="BN54" s="66">
        <f t="shared" si="21"/>
        <v>159927.55555555556</v>
      </c>
      <c r="BO54" s="67"/>
      <c r="BP54" s="67">
        <f t="shared" si="16"/>
        <v>935800</v>
      </c>
      <c r="BQ54" s="67"/>
      <c r="BR54" s="74">
        <f t="shared" si="13"/>
        <v>0.13003109741355112</v>
      </c>
      <c r="BS54" s="67"/>
      <c r="BT54" s="86"/>
      <c r="BU54" s="183"/>
      <c r="BV54" s="1"/>
      <c r="BW54">
        <f t="shared" si="11"/>
        <v>45</v>
      </c>
    </row>
    <row r="55" spans="2:79" x14ac:dyDescent="0.3">
      <c r="B55" s="171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/>
      <c r="O55" s="16">
        <f t="shared" si="22"/>
        <v>26823.717391304348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72674</v>
      </c>
      <c r="AB55" s="33"/>
      <c r="AC55" s="46">
        <f t="shared" si="23"/>
        <v>5.8898233312342826E-2</v>
      </c>
      <c r="AD55" s="33"/>
      <c r="AE55" s="33">
        <f t="shared" si="24"/>
        <v>1579.8695652173913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341">
        <f t="shared" si="25"/>
        <v>0.15238542140270089</v>
      </c>
      <c r="AW55" s="341"/>
      <c r="AX55" s="24">
        <f t="shared" si="26"/>
        <v>4087.5434782608695</v>
      </c>
      <c r="AY55" s="351"/>
      <c r="AZ55" s="10"/>
      <c r="BA55" s="66">
        <f t="shared" si="32"/>
        <v>265691</v>
      </c>
      <c r="BB55" s="67"/>
      <c r="BC55" s="67">
        <v>7462431</v>
      </c>
      <c r="BD55" s="67"/>
      <c r="BE55" s="67">
        <f t="shared" si="12"/>
        <v>24713</v>
      </c>
      <c r="BF55" s="67"/>
      <c r="BG55" s="156">
        <f t="shared" si="33"/>
        <v>9.3014065211091082E-2</v>
      </c>
      <c r="BH55" s="67"/>
      <c r="BI55" s="183"/>
      <c r="BJ55" s="67"/>
      <c r="BK55" s="67"/>
      <c r="BL55" s="67"/>
      <c r="BM55" s="67"/>
      <c r="BN55" s="66">
        <f t="shared" si="21"/>
        <v>162226.76086956522</v>
      </c>
      <c r="BO55" s="67"/>
      <c r="BP55" s="67">
        <f t="shared" si="16"/>
        <v>960513</v>
      </c>
      <c r="BQ55" s="67"/>
      <c r="BR55" s="74">
        <f t="shared" si="13"/>
        <v>0.12871314991053184</v>
      </c>
      <c r="BS55" s="67"/>
      <c r="BT55" s="86"/>
      <c r="BU55" s="183"/>
      <c r="BV55" s="1"/>
      <c r="BW55">
        <f t="shared" si="11"/>
        <v>46</v>
      </c>
    </row>
    <row r="56" spans="2:79" x14ac:dyDescent="0.3">
      <c r="B56" s="171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/>
      <c r="O56" s="16">
        <f t="shared" si="22"/>
        <v>26780.617021276597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75024</v>
      </c>
      <c r="AB56" s="33"/>
      <c r="AC56" s="46">
        <f t="shared" si="23"/>
        <v>5.9604874595710296E-2</v>
      </c>
      <c r="AD56" s="33"/>
      <c r="AE56" s="33">
        <f t="shared" si="24"/>
        <v>1596.2553191489362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341">
        <f t="shared" si="25"/>
        <v>0.15939282857004392</v>
      </c>
      <c r="AW56" s="341"/>
      <c r="AX56" s="24">
        <f t="shared" si="26"/>
        <v>4268.6382978723404</v>
      </c>
      <c r="AY56" s="351"/>
      <c r="AZ56" s="1"/>
      <c r="BA56" s="66">
        <f t="shared" si="32"/>
        <v>265380</v>
      </c>
      <c r="BB56" s="67"/>
      <c r="BC56" s="67">
        <v>7727811</v>
      </c>
      <c r="BD56" s="67"/>
      <c r="BE56" s="67">
        <f t="shared" si="12"/>
        <v>24798</v>
      </c>
      <c r="BF56" s="67"/>
      <c r="BG56" s="156">
        <f t="shared" si="33"/>
        <v>9.344336423242143E-2</v>
      </c>
      <c r="BH56" s="67"/>
      <c r="BI56" s="183"/>
      <c r="BJ56" s="67"/>
      <c r="BK56" s="67"/>
      <c r="BL56" s="67"/>
      <c r="BM56" s="67"/>
      <c r="BN56" s="66">
        <f t="shared" si="21"/>
        <v>164421.51063829788</v>
      </c>
      <c r="BO56" s="67"/>
      <c r="BP56" s="67">
        <f t="shared" si="16"/>
        <v>985311</v>
      </c>
      <c r="BQ56" s="67"/>
      <c r="BR56" s="74">
        <f t="shared" si="13"/>
        <v>0.12750195365802813</v>
      </c>
      <c r="BS56" s="67"/>
      <c r="BT56" s="86"/>
      <c r="BU56" s="183"/>
      <c r="BV56" s="1"/>
      <c r="BW56">
        <f t="shared" si="11"/>
        <v>47</v>
      </c>
    </row>
    <row r="57" spans="2:79" x14ac:dyDescent="0.3">
      <c r="B57" s="171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/>
      <c r="O57" s="16">
        <f t="shared" si="22"/>
        <v>26753.083333333332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77552</v>
      </c>
      <c r="AB57" s="33"/>
      <c r="AC57" s="46">
        <f t="shared" si="23"/>
        <v>6.0391792846307434E-2</v>
      </c>
      <c r="AD57" s="33"/>
      <c r="AE57" s="33">
        <f t="shared" si="24"/>
        <v>1615.6666666666667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341">
        <f t="shared" si="25"/>
        <v>0.16065749430750972</v>
      </c>
      <c r="AW57" s="341"/>
      <c r="AX57" s="24">
        <f t="shared" si="26"/>
        <v>4298.083333333333</v>
      </c>
      <c r="AY57" s="351"/>
      <c r="AZ57" s="1"/>
      <c r="BA57" s="66">
        <f t="shared" si="32"/>
        <v>244534</v>
      </c>
      <c r="BB57" s="67"/>
      <c r="BC57" s="67">
        <v>7972345</v>
      </c>
      <c r="BD57" s="67"/>
      <c r="BE57" s="67">
        <f t="shared" si="12"/>
        <v>25459</v>
      </c>
      <c r="BF57" s="67"/>
      <c r="BG57" s="156">
        <f t="shared" si="33"/>
        <v>0.10411231158039373</v>
      </c>
      <c r="BH57" s="67"/>
      <c r="BI57" s="183"/>
      <c r="BJ57" s="67"/>
      <c r="BK57" s="67"/>
      <c r="BL57" s="67"/>
      <c r="BM57" s="67"/>
      <c r="BN57" s="66">
        <f t="shared" si="21"/>
        <v>166090.52083333334</v>
      </c>
      <c r="BO57" s="67"/>
      <c r="BP57" s="67">
        <f t="shared" si="16"/>
        <v>1010770</v>
      </c>
      <c r="BQ57" s="67"/>
      <c r="BR57" s="74">
        <f t="shared" si="13"/>
        <v>0.12678452826615005</v>
      </c>
      <c r="BS57" s="67"/>
      <c r="BT57" s="86"/>
      <c r="BU57" s="183"/>
      <c r="BV57" s="1"/>
      <c r="BW57">
        <f t="shared" si="11"/>
        <v>48</v>
      </c>
    </row>
    <row r="58" spans="2:79" x14ac:dyDescent="0.3">
      <c r="B58" s="171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/>
      <c r="O58" s="16">
        <f t="shared" si="22"/>
        <v>26809.775510204083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79681</v>
      </c>
      <c r="AB58" s="33"/>
      <c r="AC58" s="46">
        <f t="shared" si="23"/>
        <v>6.0654847949917753E-2</v>
      </c>
      <c r="AD58" s="33"/>
      <c r="AE58" s="33">
        <f t="shared" si="24"/>
        <v>1626.1428571428571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341">
        <f t="shared" si="25"/>
        <v>0.16537525529448213</v>
      </c>
      <c r="AW58" s="341"/>
      <c r="AX58" s="24">
        <f t="shared" si="26"/>
        <v>4433.6734693877552</v>
      </c>
      <c r="AY58" s="351"/>
      <c r="AZ58" s="1"/>
      <c r="BA58" s="66">
        <f t="shared" si="32"/>
        <v>325217</v>
      </c>
      <c r="BB58" s="67"/>
      <c r="BC58" s="67">
        <v>8297562</v>
      </c>
      <c r="BD58" s="67"/>
      <c r="BE58" s="67">
        <f t="shared" si="12"/>
        <v>29531</v>
      </c>
      <c r="BF58" s="67"/>
      <c r="BG58" s="156">
        <f t="shared" si="33"/>
        <v>9.0803986261480799E-2</v>
      </c>
      <c r="BH58" s="67"/>
      <c r="BI58" s="183"/>
      <c r="BJ58" s="67"/>
      <c r="BK58" s="67"/>
      <c r="BL58" s="67"/>
      <c r="BM58" s="67"/>
      <c r="BN58" s="66">
        <f t="shared" si="21"/>
        <v>169338</v>
      </c>
      <c r="BO58" s="67"/>
      <c r="BP58" s="67">
        <f t="shared" si="16"/>
        <v>1040301</v>
      </c>
      <c r="BQ58" s="67"/>
      <c r="BR58" s="74">
        <f t="shared" si="13"/>
        <v>0.12537429669100394</v>
      </c>
      <c r="BS58" s="67"/>
      <c r="BT58" s="86"/>
      <c r="BU58" s="183"/>
      <c r="BV58" s="1"/>
      <c r="BW58">
        <f t="shared" si="11"/>
        <v>49</v>
      </c>
      <c r="BY58" s="1"/>
      <c r="CA58" s="1"/>
    </row>
    <row r="59" spans="2:79" x14ac:dyDescent="0.3">
      <c r="B59" s="171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/>
      <c r="O59" s="16">
        <f t="shared" si="22"/>
        <v>26856.82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81368</v>
      </c>
      <c r="AB59" s="33"/>
      <c r="AC59" s="46">
        <f t="shared" si="23"/>
        <v>6.0593919905632905E-2</v>
      </c>
      <c r="AD59" s="33"/>
      <c r="AE59" s="33">
        <f t="shared" si="24"/>
        <v>1627.36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341">
        <f t="shared" si="25"/>
        <v>0.16633391443960976</v>
      </c>
      <c r="AW59" s="341"/>
      <c r="AX59" s="24">
        <f t="shared" si="26"/>
        <v>4467.2</v>
      </c>
      <c r="AY59" s="351"/>
      <c r="AZ59" s="1"/>
      <c r="BA59" s="66">
        <f t="shared" si="32"/>
        <v>338873</v>
      </c>
      <c r="BB59" s="67"/>
      <c r="BC59" s="67">
        <v>8636435</v>
      </c>
      <c r="BD59" s="67"/>
      <c r="BE59" s="67">
        <f t="shared" si="12"/>
        <v>29162</v>
      </c>
      <c r="BF59" s="67"/>
      <c r="BG59" s="156">
        <f t="shared" si="33"/>
        <v>8.6055838027815731E-2</v>
      </c>
      <c r="BH59" s="67"/>
      <c r="BI59" s="183"/>
      <c r="BJ59" s="67"/>
      <c r="BK59" s="67"/>
      <c r="BL59" s="67"/>
      <c r="BM59" s="67"/>
      <c r="BN59" s="66">
        <f t="shared" si="21"/>
        <v>172728.7</v>
      </c>
      <c r="BO59" s="67"/>
      <c r="BP59" s="67">
        <f t="shared" si="16"/>
        <v>1069463</v>
      </c>
      <c r="BQ59" s="67"/>
      <c r="BR59" s="74">
        <f t="shared" si="13"/>
        <v>0.12383153465521364</v>
      </c>
      <c r="BS59" s="67"/>
      <c r="BT59" s="86"/>
      <c r="BU59" s="183"/>
      <c r="BV59" s="1"/>
      <c r="BW59">
        <f t="shared" si="11"/>
        <v>50</v>
      </c>
    </row>
    <row r="60" spans="2:79" x14ac:dyDescent="0.3">
      <c r="B60" s="476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/>
      <c r="O60" s="16">
        <f t="shared" si="22"/>
        <v>26830.686274509804</v>
      </c>
      <c r="P60" s="41"/>
      <c r="Q60" s="17"/>
      <c r="R60" s="16"/>
      <c r="S60" s="60"/>
      <c r="T60" s="16"/>
      <c r="U60" s="41"/>
      <c r="V60" s="477"/>
      <c r="W60" s="34">
        <v>1422</v>
      </c>
      <c r="X60" s="33"/>
      <c r="Y60" s="33"/>
      <c r="Z60" s="33"/>
      <c r="AA60" s="33">
        <f t="shared" si="29"/>
        <v>82790</v>
      </c>
      <c r="AB60" s="33"/>
      <c r="AC60" s="46">
        <f t="shared" si="23"/>
        <v>6.0502862905730564E-2</v>
      </c>
      <c r="AD60" s="33"/>
      <c r="AE60" s="33">
        <f t="shared" si="24"/>
        <v>1623.3333333333333</v>
      </c>
      <c r="AF60" s="50"/>
      <c r="AG60" s="33"/>
      <c r="AH60" s="33">
        <f t="shared" si="35"/>
        <v>1422</v>
      </c>
      <c r="AI60" s="231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341">
        <f t="shared" si="25"/>
        <v>0.17398720370661336</v>
      </c>
      <c r="AW60" s="341"/>
      <c r="AX60" s="24">
        <f t="shared" si="26"/>
        <v>4668.1960784313724</v>
      </c>
      <c r="AY60" s="351"/>
      <c r="AZ60" s="1"/>
      <c r="BA60" s="66">
        <f t="shared" si="32"/>
        <v>281828</v>
      </c>
      <c r="BB60" s="67"/>
      <c r="BC60" s="67">
        <v>8918263</v>
      </c>
      <c r="BD60" s="67"/>
      <c r="BE60" s="67">
        <f t="shared" si="12"/>
        <v>25524</v>
      </c>
      <c r="BF60" s="67"/>
      <c r="BG60" s="156">
        <f t="shared" si="33"/>
        <v>9.0565877059766944E-2</v>
      </c>
      <c r="BH60" s="67"/>
      <c r="BI60" s="183"/>
      <c r="BJ60" s="67"/>
      <c r="BK60" s="67"/>
      <c r="BL60" s="67"/>
      <c r="BM60" s="156"/>
      <c r="BN60" s="66">
        <f t="shared" si="21"/>
        <v>174867.90196078431</v>
      </c>
      <c r="BO60" s="67"/>
      <c r="BP60" s="67">
        <f t="shared" si="16"/>
        <v>1094987</v>
      </c>
      <c r="BQ60" s="67"/>
      <c r="BR60" s="74">
        <f t="shared" si="13"/>
        <v>0.12278029925782633</v>
      </c>
      <c r="BS60" s="67"/>
      <c r="BT60" s="86"/>
      <c r="BU60" s="183"/>
      <c r="BV60" s="1"/>
      <c r="BW60">
        <f t="shared" si="11"/>
        <v>51</v>
      </c>
    </row>
    <row r="61" spans="2:79" x14ac:dyDescent="0.3">
      <c r="B61" s="390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/>
      <c r="O61" s="16">
        <f t="shared" si="22"/>
        <v>26705.653846153848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91"/>
      <c r="W61" s="34">
        <v>750</v>
      </c>
      <c r="X61" s="33"/>
      <c r="Y61" s="33"/>
      <c r="Z61" s="33"/>
      <c r="AA61" s="33">
        <f t="shared" si="29"/>
        <v>83540</v>
      </c>
      <c r="AB61" s="33"/>
      <c r="AC61" s="46">
        <f t="shared" si="23"/>
        <v>6.0157241264094177E-2</v>
      </c>
      <c r="AD61" s="33"/>
      <c r="AE61" s="33">
        <f t="shared" si="24"/>
        <v>1606.5384615384614</v>
      </c>
      <c r="AF61" s="50"/>
      <c r="AG61" s="33">
        <f>SUM(W55:W61)</f>
        <v>12190</v>
      </c>
      <c r="AH61" s="33">
        <f t="shared" si="35"/>
        <v>750</v>
      </c>
      <c r="AI61" s="231">
        <f>+(AG61-AG54)/AG54</f>
        <v>-7.5464543041334847E-2</v>
      </c>
      <c r="AJ61" s="50"/>
      <c r="AK61" s="391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341">
        <f t="shared" si="25"/>
        <v>0.18458782136309368</v>
      </c>
      <c r="AW61" s="341"/>
      <c r="AX61" s="24">
        <f t="shared" si="26"/>
        <v>4929.5384615384619</v>
      </c>
      <c r="AY61" s="351"/>
      <c r="AZ61" s="391"/>
      <c r="BA61" s="66">
        <f t="shared" si="32"/>
        <v>526262</v>
      </c>
      <c r="BB61" s="67"/>
      <c r="BC61" s="67">
        <v>9444525</v>
      </c>
      <c r="BD61" s="67"/>
      <c r="BE61" s="67">
        <f t="shared" si="12"/>
        <v>20329</v>
      </c>
      <c r="BF61" s="67"/>
      <c r="BG61" s="156">
        <f t="shared" si="33"/>
        <v>3.8629047888694222E-2</v>
      </c>
      <c r="BH61" s="67"/>
      <c r="BI61" s="183"/>
      <c r="BJ61" s="67"/>
      <c r="BK61" s="67">
        <f>SUM(BA55:BA61)</f>
        <v>2247785</v>
      </c>
      <c r="BL61" s="67"/>
      <c r="BM61" s="156">
        <f>+Q61/BK61</f>
        <v>7.9863510077698707E-2</v>
      </c>
      <c r="BN61" s="66">
        <f t="shared" si="21"/>
        <v>181625.48076923078</v>
      </c>
      <c r="BO61" s="67"/>
      <c r="BP61" s="67">
        <f t="shared" si="16"/>
        <v>1115316</v>
      </c>
      <c r="BQ61" s="67"/>
      <c r="BR61" s="74">
        <f t="shared" si="13"/>
        <v>0.11809127510383</v>
      </c>
      <c r="BS61" s="67"/>
      <c r="BT61" s="86"/>
      <c r="BU61" s="183"/>
      <c r="BV61" s="1"/>
      <c r="BW61">
        <f t="shared" si="11"/>
        <v>52</v>
      </c>
    </row>
    <row r="62" spans="2:79" x14ac:dyDescent="0.3">
      <c r="B62" s="171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/>
      <c r="O62" s="16">
        <f t="shared" si="22"/>
        <v>26545.094339622643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84600</v>
      </c>
      <c r="AB62" s="33"/>
      <c r="AC62" s="46">
        <f t="shared" si="23"/>
        <v>6.0132632970594714E-2</v>
      </c>
      <c r="AD62" s="33"/>
      <c r="AE62" s="33">
        <f t="shared" si="24"/>
        <v>1596.2264150943397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341">
        <f t="shared" si="25"/>
        <v>0.18638628464201182</v>
      </c>
      <c r="AW62" s="341"/>
      <c r="AX62" s="24">
        <f t="shared" si="26"/>
        <v>4947.6415094339627</v>
      </c>
      <c r="AY62" s="351"/>
      <c r="AZ62" s="10"/>
      <c r="BA62" s="66">
        <f t="shared" si="32"/>
        <v>175330</v>
      </c>
      <c r="BB62" s="67"/>
      <c r="BC62" s="67">
        <v>9619855</v>
      </c>
      <c r="BD62" s="67"/>
      <c r="BE62" s="67">
        <f t="shared" si="12"/>
        <v>18196</v>
      </c>
      <c r="BF62" s="67"/>
      <c r="BG62" s="156">
        <f t="shared" si="33"/>
        <v>0.10378144071180061</v>
      </c>
      <c r="BH62" s="67"/>
      <c r="BI62" s="183"/>
      <c r="BJ62" s="67"/>
      <c r="BK62" s="67"/>
      <c r="BL62" s="67"/>
      <c r="BM62" s="67"/>
      <c r="BN62" s="66">
        <f t="shared" si="21"/>
        <v>181506.69811320756</v>
      </c>
      <c r="BO62" s="67"/>
      <c r="BP62" s="67">
        <f t="shared" si="16"/>
        <v>1133512</v>
      </c>
      <c r="BQ62" s="67"/>
      <c r="BR62" s="74">
        <f t="shared" si="13"/>
        <v>0.11783046625962658</v>
      </c>
      <c r="BS62" s="67"/>
      <c r="BT62" s="86"/>
      <c r="BU62" s="183"/>
      <c r="BV62" s="1"/>
      <c r="BW62">
        <f t="shared" si="11"/>
        <v>53</v>
      </c>
    </row>
    <row r="63" spans="2:79" x14ac:dyDescent="0.3">
      <c r="B63" s="171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/>
      <c r="O63" s="16">
        <f t="shared" si="22"/>
        <v>26475.777777777777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86471</v>
      </c>
      <c r="AB63" s="33"/>
      <c r="AC63" s="46">
        <f t="shared" si="23"/>
        <v>6.0482257717046746E-2</v>
      </c>
      <c r="AD63" s="33"/>
      <c r="AE63" s="33">
        <f t="shared" si="24"/>
        <v>1601.3148148148148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341">
        <f t="shared" si="25"/>
        <v>0.19741244967447535</v>
      </c>
      <c r="AW63" s="341"/>
      <c r="AX63" s="24">
        <f t="shared" si="26"/>
        <v>5226.6481481481478</v>
      </c>
      <c r="AY63" s="351"/>
      <c r="AZ63" s="1"/>
      <c r="BA63" s="66">
        <f t="shared" si="32"/>
        <v>310012</v>
      </c>
      <c r="BB63" s="67"/>
      <c r="BC63" s="67">
        <v>9929867</v>
      </c>
      <c r="BD63" s="67"/>
      <c r="BE63" s="67">
        <f t="shared" si="12"/>
        <v>22802</v>
      </c>
      <c r="BF63" s="67"/>
      <c r="BG63" s="156">
        <f t="shared" si="33"/>
        <v>7.3551991535811517E-2</v>
      </c>
      <c r="BH63" s="67"/>
      <c r="BI63" s="183"/>
      <c r="BJ63" s="67"/>
      <c r="BK63" s="67"/>
      <c r="BL63" s="67"/>
      <c r="BM63" s="67"/>
      <c r="BN63" s="66">
        <f t="shared" si="21"/>
        <v>183886.42592592593</v>
      </c>
      <c r="BO63" s="67"/>
      <c r="BP63" s="67">
        <f t="shared" si="16"/>
        <v>1156314</v>
      </c>
      <c r="BQ63" s="67"/>
      <c r="BR63" s="74">
        <f t="shared" si="13"/>
        <v>0.11644808535703449</v>
      </c>
      <c r="BS63" s="67"/>
      <c r="BT63" s="86"/>
      <c r="BU63" s="183"/>
      <c r="BV63" s="1"/>
      <c r="BW63">
        <f t="shared" si="11"/>
        <v>54</v>
      </c>
    </row>
    <row r="64" spans="2:79" x14ac:dyDescent="0.3">
      <c r="B64" s="171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/>
      <c r="O64" s="16">
        <f t="shared" si="22"/>
        <v>26389.163636363635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88293</v>
      </c>
      <c r="AB64" s="33"/>
      <c r="AC64" s="46">
        <f t="shared" si="23"/>
        <v>6.0832821185555504E-2</v>
      </c>
      <c r="AD64" s="33"/>
      <c r="AE64" s="33">
        <f t="shared" si="24"/>
        <v>1605.3272727272727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341">
        <f t="shared" si="25"/>
        <v>0.21376474089915695</v>
      </c>
      <c r="AW64" s="341"/>
      <c r="AX64" s="24">
        <f t="shared" si="26"/>
        <v>5641.0727272727272</v>
      </c>
      <c r="AY64" s="351"/>
      <c r="AZ64" s="1"/>
      <c r="BA64" s="66">
        <f t="shared" si="32"/>
        <v>340129</v>
      </c>
      <c r="BB64" s="67"/>
      <c r="BC64" s="67">
        <v>10269996</v>
      </c>
      <c r="BD64" s="67"/>
      <c r="BE64" s="67">
        <f t="shared" si="12"/>
        <v>21712</v>
      </c>
      <c r="BF64" s="67"/>
      <c r="BG64" s="156">
        <f t="shared" si="33"/>
        <v>6.3834603929685499E-2</v>
      </c>
      <c r="BH64" s="67"/>
      <c r="BI64" s="183"/>
      <c r="BJ64" s="67"/>
      <c r="BK64" s="67"/>
      <c r="BL64" s="67"/>
      <c r="BM64" s="67"/>
      <c r="BN64" s="66">
        <f t="shared" si="21"/>
        <v>186727.2</v>
      </c>
      <c r="BO64" s="67"/>
      <c r="BP64" s="67">
        <f t="shared" si="16"/>
        <v>1178026</v>
      </c>
      <c r="BQ64" s="67"/>
      <c r="BR64" s="74">
        <f t="shared" si="13"/>
        <v>0.11470559482204278</v>
      </c>
      <c r="BS64" s="67"/>
      <c r="BT64" s="86"/>
      <c r="BU64" s="183"/>
      <c r="BV64" s="1"/>
      <c r="BW64">
        <f t="shared" si="11"/>
        <v>55</v>
      </c>
    </row>
    <row r="65" spans="2:75" x14ac:dyDescent="0.3">
      <c r="B65" s="171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/>
      <c r="O65" s="16">
        <f t="shared" si="22"/>
        <v>26404.446428571428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90046</v>
      </c>
      <c r="AB65" s="33"/>
      <c r="AC65" s="46">
        <f t="shared" si="23"/>
        <v>6.0897481417158499E-2</v>
      </c>
      <c r="AD65" s="33"/>
      <c r="AE65" s="33">
        <f t="shared" si="24"/>
        <v>1607.9642857142858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341">
        <f t="shared" si="25"/>
        <v>0.21496717611819979</v>
      </c>
      <c r="AW65" s="341"/>
      <c r="AX65" s="24">
        <f t="shared" si="26"/>
        <v>5676.0892857142853</v>
      </c>
      <c r="AY65" s="351"/>
      <c r="AZ65" s="1"/>
      <c r="BA65" s="66">
        <f t="shared" ref="BA65:BA96" si="41">+BC65-BC64</f>
        <v>365542</v>
      </c>
      <c r="BB65" s="67"/>
      <c r="BC65" s="67">
        <v>10635538</v>
      </c>
      <c r="BD65" s="67"/>
      <c r="BE65" s="67">
        <f t="shared" si="12"/>
        <v>27245</v>
      </c>
      <c r="BF65" s="67"/>
      <c r="BG65" s="156">
        <f t="shared" ref="BG65:BG96" si="42">+BE65/BA65</f>
        <v>7.4533158980363404E-2</v>
      </c>
      <c r="BH65" s="67"/>
      <c r="BI65" s="183"/>
      <c r="BJ65" s="67"/>
      <c r="BK65" s="67"/>
      <c r="BL65" s="67"/>
      <c r="BM65" s="67"/>
      <c r="BN65" s="66">
        <f t="shared" si="21"/>
        <v>189920.32142857142</v>
      </c>
      <c r="BO65" s="67"/>
      <c r="BP65" s="67">
        <f t="shared" si="16"/>
        <v>1205271</v>
      </c>
      <c r="BQ65" s="67"/>
      <c r="BR65" s="74">
        <f t="shared" si="13"/>
        <v>0.11332487364532005</v>
      </c>
      <c r="BS65" s="67"/>
      <c r="BT65" s="86"/>
      <c r="BU65" s="183"/>
      <c r="BV65" s="1"/>
      <c r="BW65">
        <f t="shared" si="11"/>
        <v>56</v>
      </c>
    </row>
    <row r="66" spans="2:75" x14ac:dyDescent="0.3">
      <c r="B66" s="171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/>
      <c r="O66" s="16">
        <f t="shared" si="22"/>
        <v>26409.491228070176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91648</v>
      </c>
      <c r="AB66" s="33"/>
      <c r="AC66" s="46">
        <f t="shared" si="23"/>
        <v>6.0881886562579507E-2</v>
      </c>
      <c r="AD66" s="33"/>
      <c r="AE66" s="33">
        <f t="shared" si="24"/>
        <v>1607.859649122807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341">
        <f t="shared" si="25"/>
        <v>0.2167229883461621</v>
      </c>
      <c r="AW66" s="341"/>
      <c r="AX66" s="24">
        <f t="shared" si="26"/>
        <v>5723.5438596491231</v>
      </c>
      <c r="AY66" s="351"/>
      <c r="AZ66" s="1"/>
      <c r="BA66" s="66">
        <f t="shared" si="41"/>
        <v>455362</v>
      </c>
      <c r="BB66" s="67"/>
      <c r="BC66" s="67">
        <v>11090900</v>
      </c>
      <c r="BD66" s="67"/>
      <c r="BE66" s="67">
        <f t="shared" si="12"/>
        <v>26692</v>
      </c>
      <c r="BF66" s="67"/>
      <c r="BG66" s="156">
        <f t="shared" si="42"/>
        <v>5.8617100241126839E-2</v>
      </c>
      <c r="BH66" s="67"/>
      <c r="BI66" s="183"/>
      <c r="BJ66" s="67"/>
      <c r="BK66" s="67"/>
      <c r="BL66" s="67"/>
      <c r="BM66" s="67"/>
      <c r="BN66" s="66">
        <f t="shared" si="21"/>
        <v>194577.19298245615</v>
      </c>
      <c r="BO66" s="67"/>
      <c r="BP66" s="67">
        <f t="shared" si="16"/>
        <v>1231963</v>
      </c>
      <c r="BQ66" s="67"/>
      <c r="BR66" s="74">
        <f t="shared" si="13"/>
        <v>0.11107872219567393</v>
      </c>
      <c r="BS66" s="67"/>
      <c r="BT66" s="86"/>
      <c r="BU66" s="183"/>
      <c r="BV66" s="1"/>
      <c r="BW66">
        <f t="shared" si="11"/>
        <v>57</v>
      </c>
    </row>
    <row r="67" spans="2:75" x14ac:dyDescent="0.3">
      <c r="B67" s="476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/>
      <c r="O67" s="16">
        <f t="shared" si="22"/>
        <v>26359.120689655174</v>
      </c>
      <c r="P67" s="41"/>
      <c r="Q67" s="17"/>
      <c r="R67" s="16"/>
      <c r="S67" s="60"/>
      <c r="T67" s="16"/>
      <c r="U67" s="41"/>
      <c r="V67" s="477"/>
      <c r="W67" s="34">
        <v>1218</v>
      </c>
      <c r="X67" s="33"/>
      <c r="Y67" s="33"/>
      <c r="Z67" s="33"/>
      <c r="AA67" s="33">
        <f t="shared" si="38"/>
        <v>92866</v>
      </c>
      <c r="AB67" s="33"/>
      <c r="AC67" s="46">
        <f t="shared" si="23"/>
        <v>6.0743222427099432E-2</v>
      </c>
      <c r="AD67" s="33"/>
      <c r="AE67" s="33">
        <f t="shared" si="24"/>
        <v>1601.1379310344828</v>
      </c>
      <c r="AF67" s="50"/>
      <c r="AG67" s="33"/>
      <c r="AH67" s="33">
        <f t="shared" si="35"/>
        <v>1218</v>
      </c>
      <c r="AI67" s="231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341">
        <f t="shared" si="25"/>
        <v>0.22189008711896491</v>
      </c>
      <c r="AW67" s="341"/>
      <c r="AX67" s="24">
        <f t="shared" si="26"/>
        <v>5848.8275862068967</v>
      </c>
      <c r="AY67" s="351"/>
      <c r="AZ67" s="1"/>
      <c r="BA67" s="66">
        <f t="shared" si="41"/>
        <v>434725</v>
      </c>
      <c r="BB67" s="67"/>
      <c r="BC67" s="67">
        <v>11525625</v>
      </c>
      <c r="BD67" s="67"/>
      <c r="BE67" s="67">
        <f t="shared" si="12"/>
        <v>23488</v>
      </c>
      <c r="BF67" s="67"/>
      <c r="BG67" s="156">
        <f t="shared" si="42"/>
        <v>5.4029558916556447E-2</v>
      </c>
      <c r="BH67" s="67"/>
      <c r="BI67" s="183"/>
      <c r="BJ67" s="67"/>
      <c r="BK67" s="67"/>
      <c r="BL67" s="67"/>
      <c r="BM67" s="156"/>
      <c r="BN67" s="66">
        <f t="shared" si="21"/>
        <v>198717.6724137931</v>
      </c>
      <c r="BO67" s="67"/>
      <c r="BP67" s="67">
        <f t="shared" si="16"/>
        <v>1255451</v>
      </c>
      <c r="BQ67" s="67"/>
      <c r="BR67" s="74">
        <f t="shared" si="13"/>
        <v>0.10892693454801801</v>
      </c>
      <c r="BS67" s="67"/>
      <c r="BT67" s="86"/>
      <c r="BU67" s="183"/>
      <c r="BV67" s="1"/>
      <c r="BW67">
        <f t="shared" si="11"/>
        <v>58</v>
      </c>
    </row>
    <row r="68" spans="2:75" x14ac:dyDescent="0.3">
      <c r="B68" s="390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/>
      <c r="O68" s="16">
        <f t="shared" si="22"/>
        <v>26249.491525423728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91"/>
      <c r="W68" s="34">
        <v>865</v>
      </c>
      <c r="X68" s="33"/>
      <c r="Y68" s="33"/>
      <c r="Z68" s="33"/>
      <c r="AA68" s="33">
        <f t="shared" si="38"/>
        <v>93731</v>
      </c>
      <c r="AB68" s="33"/>
      <c r="AC68" s="46">
        <f t="shared" si="23"/>
        <v>6.0521592024381426E-2</v>
      </c>
      <c r="AD68" s="33"/>
      <c r="AE68" s="33">
        <f t="shared" si="24"/>
        <v>1588.6610169491526</v>
      </c>
      <c r="AF68" s="50"/>
      <c r="AG68" s="33">
        <f>SUM(W62:W68)</f>
        <v>10191</v>
      </c>
      <c r="AH68" s="33">
        <f t="shared" si="35"/>
        <v>865</v>
      </c>
      <c r="AI68" s="231">
        <f>+(AG68-AG61)/AG61</f>
        <v>-0.16398687448728466</v>
      </c>
      <c r="AJ68" s="50"/>
      <c r="AK68" s="391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341">
        <f t="shared" si="25"/>
        <v>0.22366147528281419</v>
      </c>
      <c r="AW68" s="341"/>
      <c r="AX68" s="24">
        <f t="shared" si="26"/>
        <v>5871</v>
      </c>
      <c r="AY68" s="351"/>
      <c r="AZ68" s="391"/>
      <c r="BA68" s="66">
        <f t="shared" si="41"/>
        <v>349955</v>
      </c>
      <c r="BB68" s="67"/>
      <c r="BC68" s="67">
        <v>11875580</v>
      </c>
      <c r="BD68" s="67"/>
      <c r="BE68" s="67">
        <f t="shared" si="12"/>
        <v>19891</v>
      </c>
      <c r="BF68" s="67"/>
      <c r="BG68" s="156">
        <f t="shared" si="42"/>
        <v>5.6838736408966868E-2</v>
      </c>
      <c r="BH68" s="67"/>
      <c r="BI68" s="183"/>
      <c r="BJ68" s="67"/>
      <c r="BK68" s="67">
        <f>SUM(BA62:BA68)</f>
        <v>2431055</v>
      </c>
      <c r="BL68" s="67"/>
      <c r="BM68" s="156">
        <f>+Q68/BK68</f>
        <v>6.5825742321749203E-2</v>
      </c>
      <c r="BN68" s="66">
        <f t="shared" si="21"/>
        <v>201281.01694915254</v>
      </c>
      <c r="BO68" s="67"/>
      <c r="BP68" s="67">
        <f t="shared" si="16"/>
        <v>1275342</v>
      </c>
      <c r="BQ68" s="67"/>
      <c r="BR68" s="74">
        <f t="shared" si="13"/>
        <v>0.10739197580244501</v>
      </c>
      <c r="BS68" s="67"/>
      <c r="BT68" s="86"/>
      <c r="BU68" s="183"/>
      <c r="BV68" s="1"/>
      <c r="BW68">
        <f t="shared" si="11"/>
        <v>59</v>
      </c>
    </row>
    <row r="69" spans="2:75" x14ac:dyDescent="0.3">
      <c r="B69" s="171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/>
      <c r="O69" s="16">
        <f t="shared" ref="O69:O96" si="43">+H69/BW69</f>
        <v>26189.166666666668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94734</v>
      </c>
      <c r="AB69" s="33"/>
      <c r="AC69" s="46">
        <f t="shared" ref="AC69:AC96" si="44">+AA69/H69</f>
        <v>6.0288287141629808E-2</v>
      </c>
      <c r="AD69" s="33"/>
      <c r="AE69" s="33">
        <f t="shared" ref="AE69:AE96" si="45">+AA69/BW69</f>
        <v>1578.9</v>
      </c>
      <c r="AF69" s="50"/>
      <c r="AG69" s="33"/>
      <c r="AH69" s="33">
        <f t="shared" si="35"/>
        <v>1003</v>
      </c>
      <c r="AI69" s="231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341">
        <f t="shared" ref="AV69:AV96" si="46">+AP69/H69</f>
        <v>0.22680052184427404</v>
      </c>
      <c r="AW69" s="341"/>
      <c r="AX69" s="24">
        <f t="shared" ref="AX69:AX96" si="47">+AP69/BW69</f>
        <v>5939.7166666666662</v>
      </c>
      <c r="AY69" s="351"/>
      <c r="AZ69" s="10"/>
      <c r="BA69" s="66">
        <f t="shared" si="41"/>
        <v>425164</v>
      </c>
      <c r="BB69" s="67"/>
      <c r="BC69" s="67">
        <v>12300744</v>
      </c>
      <c r="BD69" s="67"/>
      <c r="BE69" s="67">
        <f t="shared" ref="BE69:BE96" si="48">+D69</f>
        <v>22630</v>
      </c>
      <c r="BF69" s="67"/>
      <c r="BG69" s="156">
        <f t="shared" si="42"/>
        <v>5.3226519648888429E-2</v>
      </c>
      <c r="BH69" s="67"/>
      <c r="BI69" s="183"/>
      <c r="BJ69" s="67"/>
      <c r="BK69" s="67"/>
      <c r="BL69" s="67"/>
      <c r="BM69" s="156"/>
      <c r="BN69" s="66">
        <f t="shared" ref="BN69:BN96" si="49">+BC69/BW69</f>
        <v>205012.4</v>
      </c>
      <c r="BO69" s="67"/>
      <c r="BP69" s="67">
        <f t="shared" ref="BP69:BP96" si="50">+BP68+BE69</f>
        <v>1297972</v>
      </c>
      <c r="BQ69" s="67"/>
      <c r="BR69" s="74">
        <f t="shared" ref="BR69:BR96" si="51">+BP69/BC69</f>
        <v>0.10551979620094525</v>
      </c>
      <c r="BS69" s="67"/>
      <c r="BT69" s="86"/>
      <c r="BU69" s="183"/>
      <c r="BV69" s="1"/>
      <c r="BW69">
        <f t="shared" si="11"/>
        <v>60</v>
      </c>
    </row>
    <row r="70" spans="2:75" x14ac:dyDescent="0.3">
      <c r="B70" s="171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/>
      <c r="O70" s="16">
        <f t="shared" si="43"/>
        <v>26092.442622950821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96286</v>
      </c>
      <c r="AB70" s="33"/>
      <c r="AC70" s="46">
        <f t="shared" si="44"/>
        <v>6.0494873523456012E-2</v>
      </c>
      <c r="AD70" s="33"/>
      <c r="AE70" s="33">
        <f t="shared" si="45"/>
        <v>1578.4590163934427</v>
      </c>
      <c r="AF70" s="50"/>
      <c r="AG70" s="33"/>
      <c r="AH70" s="33">
        <f t="shared" si="35"/>
        <v>1552</v>
      </c>
      <c r="AI70" s="231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341">
        <f t="shared" si="46"/>
        <v>0.22692331615397712</v>
      </c>
      <c r="AW70" s="341"/>
      <c r="AX70" s="24">
        <f t="shared" si="47"/>
        <v>5920.9836065573772</v>
      </c>
      <c r="AY70" s="351"/>
      <c r="AZ70" s="10"/>
      <c r="BA70" s="66">
        <f t="shared" si="41"/>
        <v>344729</v>
      </c>
      <c r="BB70" s="67"/>
      <c r="BC70" s="67">
        <v>12645473</v>
      </c>
      <c r="BD70" s="67"/>
      <c r="BE70" s="67">
        <f t="shared" si="48"/>
        <v>20289</v>
      </c>
      <c r="BF70" s="67"/>
      <c r="BG70" s="156">
        <f t="shared" si="42"/>
        <v>5.8854926623521667E-2</v>
      </c>
      <c r="BH70" s="67"/>
      <c r="BI70" s="183"/>
      <c r="BJ70" s="67"/>
      <c r="BK70" s="67"/>
      <c r="BL70" s="67"/>
      <c r="BM70" s="156"/>
      <c r="BN70" s="66">
        <f t="shared" si="49"/>
        <v>207302.83606557376</v>
      </c>
      <c r="BO70" s="67"/>
      <c r="BP70" s="67">
        <f t="shared" si="50"/>
        <v>1318261</v>
      </c>
      <c r="BQ70" s="67"/>
      <c r="BR70" s="74">
        <f t="shared" si="51"/>
        <v>0.10424766238479177</v>
      </c>
      <c r="BS70" s="67"/>
      <c r="BT70" s="86"/>
      <c r="BU70" s="183"/>
      <c r="BV70" s="1"/>
      <c r="BW70">
        <f t="shared" si="11"/>
        <v>61</v>
      </c>
    </row>
    <row r="71" spans="2:75" x14ac:dyDescent="0.3">
      <c r="B71" s="171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/>
      <c r="O71" s="16">
        <f t="shared" si="43"/>
        <v>26028.693548387098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97689</v>
      </c>
      <c r="AB71" s="33"/>
      <c r="AC71" s="46">
        <f t="shared" si="44"/>
        <v>6.0534311079769906E-2</v>
      </c>
      <c r="AD71" s="33"/>
      <c r="AE71" s="33">
        <f t="shared" si="45"/>
        <v>1575.6290322580646</v>
      </c>
      <c r="AF71" s="50"/>
      <c r="AG71" s="33"/>
      <c r="AH71" s="33">
        <f t="shared" si="35"/>
        <v>1403</v>
      </c>
      <c r="AI71" s="231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341">
        <f t="shared" si="46"/>
        <v>0.2293226024133416</v>
      </c>
      <c r="AW71" s="341"/>
      <c r="AX71" s="24">
        <f t="shared" si="47"/>
        <v>5968.9677419354839</v>
      </c>
      <c r="AY71" s="351"/>
      <c r="AZ71" s="10"/>
      <c r="BA71" s="66">
        <f t="shared" si="41"/>
        <v>323101</v>
      </c>
      <c r="BB71" s="67"/>
      <c r="BC71" s="67">
        <v>12968574</v>
      </c>
      <c r="BD71" s="67"/>
      <c r="BE71" s="67">
        <f t="shared" si="48"/>
        <v>22140</v>
      </c>
      <c r="BF71" s="67"/>
      <c r="BG71" s="156">
        <f t="shared" si="42"/>
        <v>6.8523464798932843E-2</v>
      </c>
      <c r="BH71" s="67"/>
      <c r="BI71" s="183"/>
      <c r="BJ71" s="67"/>
      <c r="BK71" s="67"/>
      <c r="BL71" s="67"/>
      <c r="BM71" s="156"/>
      <c r="BN71" s="66">
        <f t="shared" si="49"/>
        <v>209170.54838709679</v>
      </c>
      <c r="BO71" s="67"/>
      <c r="BP71" s="67">
        <f t="shared" si="50"/>
        <v>1340401</v>
      </c>
      <c r="BQ71" s="67"/>
      <c r="BR71" s="74">
        <f t="shared" si="51"/>
        <v>0.10335762436178411</v>
      </c>
      <c r="BS71" s="67"/>
      <c r="BT71" s="86"/>
      <c r="BU71" s="183"/>
      <c r="BV71" s="1"/>
      <c r="BW71">
        <f t="shared" si="11"/>
        <v>62</v>
      </c>
    </row>
    <row r="72" spans="2:75" x14ac:dyDescent="0.3">
      <c r="B72" s="171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/>
      <c r="O72" s="16">
        <f t="shared" si="43"/>
        <v>26062.761904761905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99107</v>
      </c>
      <c r="AB72" s="33"/>
      <c r="AC72" s="46">
        <f t="shared" si="44"/>
        <v>6.0359181804118749E-2</v>
      </c>
      <c r="AD72" s="33"/>
      <c r="AE72" s="33">
        <f t="shared" si="45"/>
        <v>1573.1269841269841</v>
      </c>
      <c r="AF72" s="50"/>
      <c r="AG72" s="33"/>
      <c r="AH72" s="33">
        <f t="shared" si="35"/>
        <v>1418</v>
      </c>
      <c r="AI72" s="231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341">
        <f t="shared" si="46"/>
        <v>0.23275256188663021</v>
      </c>
      <c r="AW72" s="341"/>
      <c r="AX72" s="24">
        <f t="shared" si="47"/>
        <v>6066.1746031746034</v>
      </c>
      <c r="AY72" s="351"/>
      <c r="AZ72" s="10"/>
      <c r="BA72" s="66">
        <f t="shared" si="41"/>
        <v>470540</v>
      </c>
      <c r="BB72" s="67"/>
      <c r="BC72" s="67">
        <v>13439114</v>
      </c>
      <c r="BD72" s="67"/>
      <c r="BE72" s="67">
        <f t="shared" si="48"/>
        <v>28175</v>
      </c>
      <c r="BF72" s="67"/>
      <c r="BG72" s="156">
        <f t="shared" si="42"/>
        <v>5.9878012496280872E-2</v>
      </c>
      <c r="BH72" s="67"/>
      <c r="BI72" s="183"/>
      <c r="BJ72" s="67"/>
      <c r="BK72" s="67"/>
      <c r="BL72" s="67"/>
      <c r="BM72" s="156"/>
      <c r="BN72" s="66">
        <f t="shared" si="49"/>
        <v>213319.26984126985</v>
      </c>
      <c r="BO72" s="67"/>
      <c r="BP72" s="67">
        <f t="shared" si="50"/>
        <v>1368576</v>
      </c>
      <c r="BQ72" s="67"/>
      <c r="BR72" s="74">
        <f t="shared" si="51"/>
        <v>0.10183528467724881</v>
      </c>
      <c r="BS72" s="67"/>
      <c r="BT72" s="86"/>
      <c r="BU72" s="183"/>
      <c r="BV72" s="1"/>
      <c r="BW72">
        <f t="shared" si="11"/>
        <v>63</v>
      </c>
    </row>
    <row r="73" spans="2:75" x14ac:dyDescent="0.3">
      <c r="B73" s="171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/>
      <c r="O73" s="16">
        <f t="shared" si="43"/>
        <v>26030.5625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100400</v>
      </c>
      <c r="AB73" s="33"/>
      <c r="AC73" s="46">
        <f t="shared" si="44"/>
        <v>6.0265697293325877E-2</v>
      </c>
      <c r="AD73" s="33"/>
      <c r="AE73" s="33">
        <f t="shared" si="45"/>
        <v>1568.75</v>
      </c>
      <c r="AF73" s="50"/>
      <c r="AG73" s="33"/>
      <c r="AH73" s="33">
        <f t="shared" si="35"/>
        <v>1293</v>
      </c>
      <c r="AI73" s="231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341">
        <f t="shared" si="46"/>
        <v>0.26026917877783085</v>
      </c>
      <c r="AW73" s="341"/>
      <c r="AX73" s="24">
        <f t="shared" si="47"/>
        <v>6774.953125</v>
      </c>
      <c r="AY73" s="351"/>
      <c r="AZ73" s="10"/>
      <c r="BA73" s="66">
        <f t="shared" si="41"/>
        <v>470791</v>
      </c>
      <c r="BB73" s="67"/>
      <c r="BC73" s="67">
        <v>13909905</v>
      </c>
      <c r="BD73" s="67"/>
      <c r="BE73" s="67">
        <f t="shared" si="48"/>
        <v>24002</v>
      </c>
      <c r="BF73" s="67"/>
      <c r="BG73" s="156">
        <f t="shared" si="42"/>
        <v>5.0982283008808582E-2</v>
      </c>
      <c r="BH73" s="67"/>
      <c r="BI73" s="183"/>
      <c r="BJ73" s="67"/>
      <c r="BK73" s="67"/>
      <c r="BL73" s="67"/>
      <c r="BM73" s="156"/>
      <c r="BN73" s="66">
        <f t="shared" si="49"/>
        <v>217342.265625</v>
      </c>
      <c r="BO73" s="67"/>
      <c r="BP73" s="67">
        <f t="shared" si="50"/>
        <v>1392578</v>
      </c>
      <c r="BQ73" s="67"/>
      <c r="BR73" s="74">
        <f t="shared" si="51"/>
        <v>0.10011412730712395</v>
      </c>
      <c r="BS73" s="67"/>
      <c r="BT73" s="86"/>
      <c r="BU73" s="183"/>
      <c r="BV73" s="1"/>
      <c r="BW73">
        <f t="shared" si="11"/>
        <v>64</v>
      </c>
    </row>
    <row r="74" spans="2:75" x14ac:dyDescent="0.3">
      <c r="B74" s="475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/>
      <c r="O74" s="16">
        <f t="shared" si="43"/>
        <v>25967.446153846155</v>
      </c>
      <c r="P74" s="41"/>
      <c r="Q74" s="17"/>
      <c r="R74" s="16"/>
      <c r="S74" s="60"/>
      <c r="T74" s="16"/>
      <c r="U74" s="41"/>
      <c r="V74" s="477"/>
      <c r="W74" s="34">
        <v>1036</v>
      </c>
      <c r="X74" s="33"/>
      <c r="Y74" s="33"/>
      <c r="Z74" s="33"/>
      <c r="AA74" s="33">
        <f t="shared" si="38"/>
        <v>101436</v>
      </c>
      <c r="AB74" s="33"/>
      <c r="AC74" s="46">
        <f t="shared" si="44"/>
        <v>6.0096546919101074E-2</v>
      </c>
      <c r="AD74" s="33"/>
      <c r="AE74" s="33">
        <f t="shared" si="45"/>
        <v>1560.5538461538461</v>
      </c>
      <c r="AF74" s="50"/>
      <c r="AG74" s="33"/>
      <c r="AH74" s="33">
        <f t="shared" si="35"/>
        <v>1036</v>
      </c>
      <c r="AI74" s="231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341">
        <f t="shared" si="46"/>
        <v>0.26477767429515298</v>
      </c>
      <c r="AW74" s="341"/>
      <c r="AX74" s="24">
        <f t="shared" si="47"/>
        <v>6875.6</v>
      </c>
      <c r="AY74" s="351"/>
      <c r="AZ74" s="10"/>
      <c r="BA74" s="66">
        <f t="shared" si="41"/>
        <v>448064</v>
      </c>
      <c r="BB74" s="67"/>
      <c r="BC74" s="67">
        <v>14357969</v>
      </c>
      <c r="BD74" s="67"/>
      <c r="BE74" s="67">
        <f t="shared" si="48"/>
        <v>21928</v>
      </c>
      <c r="BF74" s="67"/>
      <c r="BG74" s="156">
        <f t="shared" si="42"/>
        <v>4.8939437223253821E-2</v>
      </c>
      <c r="BH74" s="67"/>
      <c r="BI74" s="183"/>
      <c r="BJ74" s="67"/>
      <c r="BK74" s="67"/>
      <c r="BL74" s="67"/>
      <c r="BM74" s="156"/>
      <c r="BN74" s="66">
        <f t="shared" si="49"/>
        <v>220891.83076923076</v>
      </c>
      <c r="BO74" s="67"/>
      <c r="BP74" s="67">
        <f t="shared" si="50"/>
        <v>1414506</v>
      </c>
      <c r="BQ74" s="67"/>
      <c r="BR74" s="74">
        <f t="shared" si="51"/>
        <v>9.8517137068620225E-2</v>
      </c>
      <c r="BS74" s="67"/>
      <c r="BT74" s="86"/>
      <c r="BU74" s="183"/>
      <c r="BV74" s="1"/>
      <c r="BW74">
        <f t="shared" si="11"/>
        <v>65</v>
      </c>
    </row>
    <row r="75" spans="2:75" x14ac:dyDescent="0.3">
      <c r="B75" s="390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/>
      <c r="O75" s="16">
        <f t="shared" si="43"/>
        <v>25871.090909090908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91"/>
      <c r="W75" s="34">
        <v>617</v>
      </c>
      <c r="X75" s="33"/>
      <c r="Y75" s="33"/>
      <c r="Z75" s="33"/>
      <c r="AA75" s="33">
        <f t="shared" si="38"/>
        <v>102053</v>
      </c>
      <c r="AB75" s="33"/>
      <c r="AC75" s="46">
        <f t="shared" si="44"/>
        <v>5.9767776364398777E-2</v>
      </c>
      <c r="AD75" s="33"/>
      <c r="AE75" s="33">
        <f t="shared" si="45"/>
        <v>1546.2575757575758</v>
      </c>
      <c r="AF75" s="50"/>
      <c r="AG75" s="33">
        <f>SUM(W69:W75)</f>
        <v>8322</v>
      </c>
      <c r="AH75" s="33">
        <f t="shared" si="35"/>
        <v>617</v>
      </c>
      <c r="AI75" s="231">
        <f>+(AG75-AG68)/AG68</f>
        <v>-0.1833971151015602</v>
      </c>
      <c r="AJ75" s="50"/>
      <c r="AK75" s="391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341">
        <f t="shared" si="46"/>
        <v>0.26454121014915444</v>
      </c>
      <c r="AW75" s="341"/>
      <c r="AX75" s="24">
        <f t="shared" si="47"/>
        <v>6843.969696969697</v>
      </c>
      <c r="AY75" s="351"/>
      <c r="AZ75" s="391"/>
      <c r="BA75" s="66">
        <f t="shared" si="41"/>
        <v>391787</v>
      </c>
      <c r="BB75" s="67"/>
      <c r="BC75" s="67">
        <v>14749756</v>
      </c>
      <c r="BD75" s="67"/>
      <c r="BE75" s="67">
        <f t="shared" si="48"/>
        <v>19608</v>
      </c>
      <c r="BF75" s="67"/>
      <c r="BG75" s="156">
        <f t="shared" si="42"/>
        <v>5.0047602396199979E-2</v>
      </c>
      <c r="BH75" s="67"/>
      <c r="BI75" s="183"/>
      <c r="BJ75" s="67"/>
      <c r="BK75" s="67">
        <f>SUM(BA69:BA75)</f>
        <v>2874176</v>
      </c>
      <c r="BL75" s="67"/>
      <c r="BM75" s="156">
        <f>+Q75/BK75</f>
        <v>5.5240875993676102E-2</v>
      </c>
      <c r="BN75" s="66">
        <f t="shared" si="49"/>
        <v>223481.15151515152</v>
      </c>
      <c r="BO75" s="67"/>
      <c r="BP75" s="67">
        <f t="shared" si="50"/>
        <v>1434114</v>
      </c>
      <c r="BQ75" s="67"/>
      <c r="BR75" s="74">
        <f t="shared" si="51"/>
        <v>9.7229676206169111E-2</v>
      </c>
      <c r="BS75" s="67"/>
      <c r="BT75" s="86"/>
      <c r="BU75" s="183"/>
      <c r="BV75" s="1"/>
      <c r="BW75">
        <f t="shared" si="11"/>
        <v>66</v>
      </c>
    </row>
    <row r="76" spans="2:75" x14ac:dyDescent="0.3">
      <c r="B76" s="171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/>
      <c r="O76" s="16">
        <f t="shared" si="43"/>
        <v>25780.328358208953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102558</v>
      </c>
      <c r="AB76" s="33"/>
      <c r="AC76" s="46">
        <f t="shared" si="44"/>
        <v>5.937536545856438E-2</v>
      </c>
      <c r="AD76" s="33"/>
      <c r="AE76" s="33">
        <f t="shared" si="45"/>
        <v>1530.7164179104477</v>
      </c>
      <c r="AF76" s="50"/>
      <c r="AG76" s="33"/>
      <c r="AH76" s="33">
        <f t="shared" si="35"/>
        <v>505</v>
      </c>
      <c r="AI76" s="231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341">
        <f t="shared" si="46"/>
        <v>0.26901802948215753</v>
      </c>
      <c r="AW76" s="341"/>
      <c r="AX76" s="24">
        <f t="shared" si="47"/>
        <v>6935.373134328358</v>
      </c>
      <c r="AY76" s="351"/>
      <c r="AZ76" s="10"/>
      <c r="BA76" s="66">
        <f t="shared" si="41"/>
        <v>437891</v>
      </c>
      <c r="BB76" s="67"/>
      <c r="BC76" s="67">
        <v>15187647</v>
      </c>
      <c r="BD76" s="67"/>
      <c r="BE76" s="67">
        <f t="shared" si="48"/>
        <v>19790</v>
      </c>
      <c r="BF76" s="67"/>
      <c r="BG76" s="156">
        <f t="shared" si="42"/>
        <v>4.5193895284442932E-2</v>
      </c>
      <c r="BH76" s="67"/>
      <c r="BI76" s="183"/>
      <c r="BJ76" s="67"/>
      <c r="BK76" s="67"/>
      <c r="BL76" s="67"/>
      <c r="BM76" s="156"/>
      <c r="BN76" s="66">
        <f t="shared" si="49"/>
        <v>226681.29850746269</v>
      </c>
      <c r="BO76" s="67"/>
      <c r="BP76" s="67">
        <f t="shared" si="50"/>
        <v>1453904</v>
      </c>
      <c r="BQ76" s="67"/>
      <c r="BR76" s="74">
        <f t="shared" si="51"/>
        <v>9.572937796091785E-2</v>
      </c>
      <c r="BS76" s="67"/>
      <c r="BT76" s="86"/>
      <c r="BU76" s="183"/>
      <c r="BV76" s="1"/>
      <c r="BW76">
        <f t="shared" si="11"/>
        <v>67</v>
      </c>
    </row>
    <row r="77" spans="2:75" x14ac:dyDescent="0.3">
      <c r="B77" s="171">
        <f t="shared" ref="B77:B188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/>
      <c r="O77" s="16">
        <f t="shared" si="43"/>
        <v>25681.073529411766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103332</v>
      </c>
      <c r="AB77" s="33"/>
      <c r="AC77" s="46">
        <f t="shared" si="44"/>
        <v>5.917152308893079E-2</v>
      </c>
      <c r="AD77" s="33"/>
      <c r="AE77" s="33">
        <f t="shared" si="45"/>
        <v>1519.5882352941176</v>
      </c>
      <c r="AF77" s="50"/>
      <c r="AG77" s="33"/>
      <c r="AH77" s="33">
        <f t="shared" si="35"/>
        <v>774</v>
      </c>
      <c r="AI77" s="231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341">
        <f t="shared" si="46"/>
        <v>0.27484706349892601</v>
      </c>
      <c r="AW77" s="341"/>
      <c r="AX77" s="24">
        <f t="shared" si="47"/>
        <v>7058.3676470588234</v>
      </c>
      <c r="AY77" s="351"/>
      <c r="AZ77" s="10"/>
      <c r="BA77" s="66">
        <f t="shared" si="41"/>
        <v>344512</v>
      </c>
      <c r="BB77" s="67"/>
      <c r="BC77" s="67">
        <v>15532159</v>
      </c>
      <c r="BD77" s="67"/>
      <c r="BE77" s="67">
        <f t="shared" si="48"/>
        <v>19031</v>
      </c>
      <c r="BF77" s="67"/>
      <c r="BG77" s="156">
        <f t="shared" si="42"/>
        <v>5.5240456065391047E-2</v>
      </c>
      <c r="BH77" s="67"/>
      <c r="BI77" s="183"/>
      <c r="BJ77" s="67"/>
      <c r="BK77" s="67"/>
      <c r="BL77" s="67"/>
      <c r="BM77" s="156"/>
      <c r="BN77" s="66">
        <f t="shared" si="49"/>
        <v>228414.10294117648</v>
      </c>
      <c r="BO77" s="67"/>
      <c r="BP77" s="67">
        <f t="shared" si="50"/>
        <v>1472935</v>
      </c>
      <c r="BQ77" s="67"/>
      <c r="BR77" s="74">
        <f t="shared" si="51"/>
        <v>9.4831310959410081E-2</v>
      </c>
      <c r="BS77" s="67"/>
      <c r="BT77" s="86"/>
      <c r="BU77" s="183"/>
      <c r="BV77" s="1"/>
      <c r="BW77">
        <f t="shared" ref="BW77:BW188" si="53">+BW76+1</f>
        <v>68</v>
      </c>
    </row>
    <row r="78" spans="2:75" x14ac:dyDescent="0.3">
      <c r="B78" s="171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/>
      <c r="O78" s="16">
        <f t="shared" si="43"/>
        <v>25606.652173913044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104860</v>
      </c>
      <c r="AB78" s="33"/>
      <c r="AC78" s="46">
        <f t="shared" si="44"/>
        <v>5.9348255859692257E-2</v>
      </c>
      <c r="AD78" s="33"/>
      <c r="AE78" s="33">
        <f t="shared" si="45"/>
        <v>1519.7101449275362</v>
      </c>
      <c r="AF78" s="50"/>
      <c r="AG78" s="33"/>
      <c r="AH78" s="33">
        <f t="shared" si="35"/>
        <v>1528</v>
      </c>
      <c r="AI78" s="231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341">
        <f t="shared" si="46"/>
        <v>0.27740187530527338</v>
      </c>
      <c r="AW78" s="341"/>
      <c r="AX78" s="24">
        <f t="shared" si="47"/>
        <v>7103.333333333333</v>
      </c>
      <c r="AY78" s="351"/>
      <c r="AZ78" s="10"/>
      <c r="BA78" s="66">
        <f t="shared" si="41"/>
        <v>343314</v>
      </c>
      <c r="BB78" s="67"/>
      <c r="BC78" s="67">
        <v>15875473</v>
      </c>
      <c r="BD78" s="67"/>
      <c r="BE78" s="67">
        <f t="shared" si="48"/>
        <v>20546</v>
      </c>
      <c r="BF78" s="67"/>
      <c r="BG78" s="156">
        <f t="shared" si="42"/>
        <v>5.9846088420512998E-2</v>
      </c>
      <c r="BH78" s="67"/>
      <c r="BI78" s="183"/>
      <c r="BJ78" s="67"/>
      <c r="BK78" s="67"/>
      <c r="BL78" s="67"/>
      <c r="BM78" s="156"/>
      <c r="BN78" s="66">
        <f t="shared" si="49"/>
        <v>230079.31884057971</v>
      </c>
      <c r="BO78" s="67"/>
      <c r="BP78" s="67">
        <f t="shared" si="50"/>
        <v>1493481</v>
      </c>
      <c r="BQ78" s="67"/>
      <c r="BR78" s="74">
        <f t="shared" si="51"/>
        <v>9.4074740324272543E-2</v>
      </c>
      <c r="BS78" s="67"/>
      <c r="BT78" s="86"/>
      <c r="BU78" s="183"/>
      <c r="BV78" s="1"/>
      <c r="BW78">
        <f t="shared" si="53"/>
        <v>69</v>
      </c>
    </row>
    <row r="79" spans="2:75" x14ac:dyDescent="0.3">
      <c r="B79" s="171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/>
      <c r="O79" s="16">
        <f t="shared" si="43"/>
        <v>25564.528571428571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106083</v>
      </c>
      <c r="AB79" s="33"/>
      <c r="AC79" s="46">
        <f t="shared" si="44"/>
        <v>5.9280241540035666E-2</v>
      </c>
      <c r="AD79" s="33"/>
      <c r="AE79" s="33">
        <f t="shared" si="45"/>
        <v>1515.4714285714285</v>
      </c>
      <c r="AF79" s="50"/>
      <c r="AG79" s="33"/>
      <c r="AH79" s="33">
        <f t="shared" si="35"/>
        <v>1223</v>
      </c>
      <c r="AI79" s="231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341">
        <f t="shared" si="46"/>
        <v>0.2786925187075619</v>
      </c>
      <c r="AW79" s="341"/>
      <c r="AX79" s="24">
        <f t="shared" si="47"/>
        <v>7124.6428571428569</v>
      </c>
      <c r="AY79" s="351"/>
      <c r="AZ79" s="10"/>
      <c r="BA79" s="66">
        <f t="shared" si="41"/>
        <v>455839</v>
      </c>
      <c r="BB79" s="67"/>
      <c r="BC79" s="67">
        <v>16331312</v>
      </c>
      <c r="BD79" s="67"/>
      <c r="BE79" s="67">
        <f t="shared" si="48"/>
        <v>22658</v>
      </c>
      <c r="BF79" s="67"/>
      <c r="BG79" s="156">
        <f t="shared" si="42"/>
        <v>4.9706146249004581E-2</v>
      </c>
      <c r="BH79" s="67"/>
      <c r="BI79" s="183"/>
      <c r="BJ79" s="67"/>
      <c r="BK79" s="67"/>
      <c r="BL79" s="67"/>
      <c r="BM79" s="156"/>
      <c r="BN79" s="66">
        <f t="shared" si="49"/>
        <v>233304.45714285714</v>
      </c>
      <c r="BO79" s="67"/>
      <c r="BP79" s="67">
        <f t="shared" si="50"/>
        <v>1516139</v>
      </c>
      <c r="BQ79" s="67"/>
      <c r="BR79" s="74">
        <f t="shared" si="51"/>
        <v>9.2836325703654424E-2</v>
      </c>
      <c r="BS79" s="67"/>
      <c r="BT79" s="86"/>
      <c r="BU79" s="183"/>
      <c r="BV79" s="1"/>
      <c r="BW79">
        <f t="shared" si="53"/>
        <v>70</v>
      </c>
    </row>
    <row r="80" spans="2:75" x14ac:dyDescent="0.3">
      <c r="B80" s="171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/>
      <c r="O80" s="16">
        <f t="shared" si="43"/>
        <v>25557.549295774646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107295</v>
      </c>
      <c r="AB80" s="33"/>
      <c r="AC80" s="46">
        <f t="shared" si="44"/>
        <v>5.912918979866482E-2</v>
      </c>
      <c r="AD80" s="33"/>
      <c r="AE80" s="33">
        <f t="shared" si="45"/>
        <v>1511.1971830985915</v>
      </c>
      <c r="AF80" s="50"/>
      <c r="AG80" s="33"/>
      <c r="AH80" s="33">
        <f t="shared" si="35"/>
        <v>1212</v>
      </c>
      <c r="AI80" s="231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341">
        <f t="shared" si="46"/>
        <v>0.28632922330493016</v>
      </c>
      <c r="AW80" s="341"/>
      <c r="AX80" s="24">
        <f t="shared" si="47"/>
        <v>7317.8732394366198</v>
      </c>
      <c r="AY80" s="351"/>
      <c r="AZ80" s="10"/>
      <c r="BA80" s="66">
        <f t="shared" si="41"/>
        <v>479466</v>
      </c>
      <c r="BB80" s="67"/>
      <c r="BC80" s="67">
        <v>16810778</v>
      </c>
      <c r="BD80" s="67"/>
      <c r="BE80" s="67">
        <f t="shared" si="48"/>
        <v>25069</v>
      </c>
      <c r="BF80" s="67"/>
      <c r="BG80" s="156">
        <f t="shared" si="42"/>
        <v>5.2285250674708947E-2</v>
      </c>
      <c r="BH80" s="67"/>
      <c r="BI80" s="183"/>
      <c r="BJ80" s="67"/>
      <c r="BK80" s="67"/>
      <c r="BL80" s="67"/>
      <c r="BM80" s="156"/>
      <c r="BN80" s="66">
        <f t="shared" si="49"/>
        <v>236771.52112676058</v>
      </c>
      <c r="BO80" s="67"/>
      <c r="BP80" s="67">
        <f t="shared" si="50"/>
        <v>1541208</v>
      </c>
      <c r="BQ80" s="67"/>
      <c r="BR80" s="74">
        <f t="shared" si="51"/>
        <v>9.1679754500356855E-2</v>
      </c>
      <c r="BS80" s="67"/>
      <c r="BT80" s="86"/>
      <c r="BU80" s="183"/>
      <c r="BV80" s="1"/>
      <c r="BW80">
        <f t="shared" si="53"/>
        <v>71</v>
      </c>
    </row>
    <row r="81" spans="2:75" x14ac:dyDescent="0.3">
      <c r="B81" s="475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/>
      <c r="O81" s="16">
        <f t="shared" si="43"/>
        <v>25526.055555555555</v>
      </c>
      <c r="P81" s="41"/>
      <c r="Q81" s="17"/>
      <c r="R81" s="16"/>
      <c r="S81" s="60"/>
      <c r="T81" s="16"/>
      <c r="U81" s="41"/>
      <c r="V81" s="477"/>
      <c r="W81" s="34">
        <v>1015</v>
      </c>
      <c r="X81" s="33"/>
      <c r="Y81" s="33"/>
      <c r="Z81" s="33"/>
      <c r="AA81" s="33">
        <f t="shared" si="38"/>
        <v>108310</v>
      </c>
      <c r="AB81" s="33"/>
      <c r="AC81" s="46">
        <f t="shared" si="44"/>
        <v>5.8932158643999921E-2</v>
      </c>
      <c r="AD81" s="33"/>
      <c r="AE81" s="33">
        <f t="shared" si="45"/>
        <v>1504.3055555555557</v>
      </c>
      <c r="AF81" s="50"/>
      <c r="AG81" s="33"/>
      <c r="AH81" s="33">
        <f t="shared" si="35"/>
        <v>1015</v>
      </c>
      <c r="AI81" s="231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341">
        <f t="shared" si="46"/>
        <v>0.2912263939460551</v>
      </c>
      <c r="AW81" s="341"/>
      <c r="AX81" s="24">
        <f t="shared" si="47"/>
        <v>7433.8611111111113</v>
      </c>
      <c r="AY81" s="351"/>
      <c r="AZ81" s="503"/>
      <c r="BA81" s="66">
        <f t="shared" si="41"/>
        <v>460063</v>
      </c>
      <c r="BB81" s="67"/>
      <c r="BC81" s="67">
        <v>17270841</v>
      </c>
      <c r="BD81" s="67"/>
      <c r="BE81" s="67">
        <f t="shared" si="48"/>
        <v>23290</v>
      </c>
      <c r="BF81" s="67"/>
      <c r="BG81" s="156">
        <f t="shared" si="42"/>
        <v>5.0623501563916248E-2</v>
      </c>
      <c r="BH81" s="67"/>
      <c r="BI81" s="183"/>
      <c r="BJ81" s="67"/>
      <c r="BK81" s="67"/>
      <c r="BL81" s="67"/>
      <c r="BM81" s="156"/>
      <c r="BN81" s="66">
        <f t="shared" si="49"/>
        <v>239872.79166666666</v>
      </c>
      <c r="BO81" s="67"/>
      <c r="BP81" s="67">
        <f t="shared" si="50"/>
        <v>1564498</v>
      </c>
      <c r="BQ81" s="67"/>
      <c r="BR81" s="74">
        <f t="shared" si="51"/>
        <v>9.0586092478067509E-2</v>
      </c>
      <c r="BS81" s="67"/>
      <c r="BT81" s="86"/>
      <c r="BU81" s="183"/>
      <c r="BV81" s="1"/>
      <c r="BW81">
        <f t="shared" si="53"/>
        <v>72</v>
      </c>
    </row>
    <row r="82" spans="2:75" x14ac:dyDescent="0.3">
      <c r="B82" s="390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/>
      <c r="O82" s="16">
        <f t="shared" si="43"/>
        <v>25455.150684931508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91"/>
      <c r="W82" s="34">
        <v>638</v>
      </c>
      <c r="X82" s="33"/>
      <c r="Y82" s="33"/>
      <c r="Z82" s="33"/>
      <c r="AA82" s="33">
        <f t="shared" si="38"/>
        <v>108948</v>
      </c>
      <c r="AB82" s="33"/>
      <c r="AC82" s="46">
        <f t="shared" si="44"/>
        <v>5.8630112806515464E-2</v>
      </c>
      <c r="AD82" s="33"/>
      <c r="AE82" s="33">
        <f t="shared" si="45"/>
        <v>1492.4383561643835</v>
      </c>
      <c r="AF82" s="50"/>
      <c r="AG82" s="33">
        <f>SUM(W76:W82)</f>
        <v>6895</v>
      </c>
      <c r="AH82" s="33">
        <f t="shared" si="35"/>
        <v>638</v>
      </c>
      <c r="AI82" s="231">
        <f>+(AG82-AG75)/AG75</f>
        <v>-0.17147320355683729</v>
      </c>
      <c r="AJ82" s="50"/>
      <c r="AK82" s="391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341">
        <f t="shared" si="46"/>
        <v>0.32281703086707431</v>
      </c>
      <c r="AW82" s="341"/>
      <c r="AX82" s="24">
        <f t="shared" si="47"/>
        <v>8217.3561643835619</v>
      </c>
      <c r="AY82" s="351"/>
      <c r="AZ82" s="391"/>
      <c r="BA82" s="66">
        <f t="shared" si="41"/>
        <v>401726</v>
      </c>
      <c r="BB82" s="67"/>
      <c r="BC82" s="67">
        <v>17672567</v>
      </c>
      <c r="BD82" s="67"/>
      <c r="BE82" s="67">
        <f t="shared" si="48"/>
        <v>20350</v>
      </c>
      <c r="BF82" s="67"/>
      <c r="BG82" s="156">
        <f t="shared" si="42"/>
        <v>5.0656417558236209E-2</v>
      </c>
      <c r="BH82" s="67"/>
      <c r="BI82" s="183"/>
      <c r="BJ82" s="67"/>
      <c r="BK82" s="67">
        <f>SUM(BA76:BA82)</f>
        <v>2922811</v>
      </c>
      <c r="BL82" s="67"/>
      <c r="BM82" s="156">
        <f>+Q82/BK82</f>
        <v>5.1571586394056956E-2</v>
      </c>
      <c r="BN82" s="66">
        <f t="shared" si="49"/>
        <v>242089.95890410958</v>
      </c>
      <c r="BO82" s="67"/>
      <c r="BP82" s="67">
        <f t="shared" si="50"/>
        <v>1584848</v>
      </c>
      <c r="BQ82" s="67"/>
      <c r="BR82" s="74">
        <f t="shared" si="51"/>
        <v>8.9678426456100011E-2</v>
      </c>
      <c r="BS82" s="67"/>
      <c r="BT82" s="86"/>
      <c r="BU82" s="183"/>
      <c r="BV82" s="1"/>
      <c r="BW82">
        <f t="shared" si="53"/>
        <v>73</v>
      </c>
    </row>
    <row r="83" spans="2:75" x14ac:dyDescent="0.3">
      <c r="B83" s="171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/>
      <c r="O83" s="16">
        <f t="shared" si="43"/>
        <v>25410.527027027027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109678</v>
      </c>
      <c r="AB83" s="33"/>
      <c r="AC83" s="46">
        <f t="shared" si="44"/>
        <v>5.8327603105544149E-2</v>
      </c>
      <c r="AD83" s="33"/>
      <c r="AE83" s="33">
        <f t="shared" si="45"/>
        <v>1482.1351351351352</v>
      </c>
      <c r="AF83" s="50"/>
      <c r="AG83" s="33">
        <f>SUM(D52:D82)</f>
        <v>742147</v>
      </c>
      <c r="AH83" s="33"/>
      <c r="AI83" s="231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341">
        <f t="shared" si="46"/>
        <v>0.32723615824256708</v>
      </c>
      <c r="AW83" s="341"/>
      <c r="AX83" s="24">
        <f t="shared" si="47"/>
        <v>8315.2432432432433</v>
      </c>
      <c r="AY83" s="351"/>
      <c r="AZ83" s="10"/>
      <c r="BA83" s="66">
        <f t="shared" si="41"/>
        <v>477486</v>
      </c>
      <c r="BB83" s="67"/>
      <c r="BC83" s="67">
        <v>18150053</v>
      </c>
      <c r="BD83" s="67"/>
      <c r="BE83" s="67">
        <f t="shared" si="48"/>
        <v>22153</v>
      </c>
      <c r="BF83" s="67"/>
      <c r="BG83" s="156">
        <f t="shared" si="42"/>
        <v>4.6395077552011998E-2</v>
      </c>
      <c r="BH83" s="67"/>
      <c r="BI83" s="183"/>
      <c r="BJ83" s="67"/>
      <c r="BK83" s="67">
        <f>SUM(BA76:BA83)</f>
        <v>3400297</v>
      </c>
      <c r="BL83" s="67"/>
      <c r="BM83" s="156"/>
      <c r="BN83" s="66">
        <f t="shared" si="49"/>
        <v>245270.98648648648</v>
      </c>
      <c r="BO83" s="67"/>
      <c r="BP83" s="67">
        <f t="shared" si="50"/>
        <v>1607001</v>
      </c>
      <c r="BQ83" s="67"/>
      <c r="BR83" s="74">
        <f t="shared" si="51"/>
        <v>8.8539741454198503E-2</v>
      </c>
      <c r="BS83" s="67"/>
      <c r="BT83" s="86"/>
      <c r="BU83" s="183"/>
      <c r="BV83" s="1"/>
      <c r="BW83">
        <f t="shared" si="53"/>
        <v>74</v>
      </c>
    </row>
    <row r="84" spans="2:75" x14ac:dyDescent="0.3">
      <c r="B84" s="171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/>
      <c r="O84" s="16">
        <f t="shared" si="43"/>
        <v>25363.48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110812</v>
      </c>
      <c r="AB84" s="33"/>
      <c r="AC84" s="46">
        <f t="shared" si="44"/>
        <v>5.8252784449662795E-2</v>
      </c>
      <c r="AD84" s="33"/>
      <c r="AE84" s="33">
        <f t="shared" si="45"/>
        <v>1477.4933333333333</v>
      </c>
      <c r="AF84" s="50"/>
      <c r="AG84" s="33">
        <f>SUM(AH52:AH82)</f>
        <v>42339</v>
      </c>
      <c r="AH84" s="33"/>
      <c r="AI84" s="231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341">
        <f t="shared" si="46"/>
        <v>0.33942555727105794</v>
      </c>
      <c r="AW84" s="341"/>
      <c r="AX84" s="24">
        <f t="shared" si="47"/>
        <v>8609.0133333333342</v>
      </c>
      <c r="AY84" s="351"/>
      <c r="AZ84" s="10"/>
      <c r="BA84" s="66">
        <f t="shared" si="41"/>
        <v>453121</v>
      </c>
      <c r="BB84" s="67"/>
      <c r="BC84" s="67">
        <v>18603174</v>
      </c>
      <c r="BD84" s="67"/>
      <c r="BE84" s="67">
        <f t="shared" si="48"/>
        <v>21882</v>
      </c>
      <c r="BF84" s="67"/>
      <c r="BG84" s="156">
        <f t="shared" si="42"/>
        <v>4.8291736644295896E-2</v>
      </c>
      <c r="BH84" s="67"/>
      <c r="BI84" s="183"/>
      <c r="BJ84" s="67"/>
      <c r="BK84" s="67"/>
      <c r="BL84" s="67"/>
      <c r="BM84" s="156"/>
      <c r="BN84" s="66">
        <f t="shared" si="49"/>
        <v>248042.32</v>
      </c>
      <c r="BO84" s="67"/>
      <c r="BP84" s="67">
        <f t="shared" si="50"/>
        <v>1628883</v>
      </c>
      <c r="BQ84" s="67"/>
      <c r="BR84" s="74">
        <f t="shared" si="51"/>
        <v>8.7559413248513393E-2</v>
      </c>
      <c r="BS84" s="67"/>
      <c r="BT84" s="86"/>
      <c r="BU84" s="183"/>
      <c r="BV84" s="1"/>
      <c r="BW84">
        <f t="shared" si="53"/>
        <v>75</v>
      </c>
    </row>
    <row r="85" spans="2:75" x14ac:dyDescent="0.3">
      <c r="B85" s="171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/>
      <c r="O85" s="16">
        <f t="shared" si="43"/>
        <v>25300.513157894737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111895</v>
      </c>
      <c r="AB85" s="33"/>
      <c r="AC85" s="46">
        <f t="shared" si="44"/>
        <v>5.819259958842108E-2</v>
      </c>
      <c r="AD85" s="33"/>
      <c r="AE85" s="33">
        <f t="shared" si="45"/>
        <v>1472.3026315789473</v>
      </c>
      <c r="AF85" s="50"/>
      <c r="AG85" s="231">
        <f>+AG84/AG83</f>
        <v>5.7049344671608188E-2</v>
      </c>
      <c r="AH85" s="33"/>
      <c r="AI85" s="231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341">
        <f t="shared" si="46"/>
        <v>0.35815271065336202</v>
      </c>
      <c r="AW85" s="341"/>
      <c r="AX85" s="24">
        <f t="shared" si="47"/>
        <v>9061.4473684210534</v>
      </c>
      <c r="AY85" s="351"/>
      <c r="AZ85" s="10"/>
      <c r="BA85" s="66">
        <f t="shared" si="41"/>
        <v>493497</v>
      </c>
      <c r="BB85" s="67"/>
      <c r="BC85" s="67">
        <v>19096671</v>
      </c>
      <c r="BD85" s="67"/>
      <c r="BE85" s="67">
        <f t="shared" si="48"/>
        <v>20578</v>
      </c>
      <c r="BF85" s="67"/>
      <c r="BG85" s="156">
        <f t="shared" si="42"/>
        <v>4.1698328459950113E-2</v>
      </c>
      <c r="BH85" s="67"/>
      <c r="BI85" s="183"/>
      <c r="BJ85" s="67"/>
      <c r="BK85" s="67"/>
      <c r="BL85" s="67"/>
      <c r="BM85" s="156"/>
      <c r="BN85" s="66">
        <f t="shared" si="49"/>
        <v>251271.98684210525</v>
      </c>
      <c r="BO85" s="67"/>
      <c r="BP85" s="67">
        <f t="shared" si="50"/>
        <v>1649461</v>
      </c>
      <c r="BQ85" s="67"/>
      <c r="BR85" s="74">
        <f t="shared" si="51"/>
        <v>8.6374269106903503E-2</v>
      </c>
      <c r="BS85" s="67"/>
      <c r="BT85" s="86"/>
      <c r="BU85" s="183"/>
      <c r="BV85" s="1"/>
      <c r="BW85">
        <f t="shared" si="53"/>
        <v>76</v>
      </c>
    </row>
    <row r="86" spans="2:75" x14ac:dyDescent="0.3">
      <c r="B86" s="171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/>
      <c r="O86" s="16">
        <f t="shared" si="43"/>
        <v>25261.129870129869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112926</v>
      </c>
      <c r="AB86" s="33"/>
      <c r="AC86" s="46">
        <f t="shared" si="44"/>
        <v>5.8056446252057088E-2</v>
      </c>
      <c r="AD86" s="33"/>
      <c r="AE86" s="33">
        <f t="shared" si="45"/>
        <v>1466.5714285714287</v>
      </c>
      <c r="AF86" s="50"/>
      <c r="AG86" s="33"/>
      <c r="AH86" s="33"/>
      <c r="AI86" s="231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341">
        <f t="shared" si="46"/>
        <v>0.36617625662752745</v>
      </c>
      <c r="AW86" s="341"/>
      <c r="AX86" s="24">
        <f t="shared" si="47"/>
        <v>9250.0259740259735</v>
      </c>
      <c r="AY86" s="351"/>
      <c r="AZ86" s="10"/>
      <c r="BA86" s="66">
        <f t="shared" si="41"/>
        <v>471398</v>
      </c>
      <c r="BB86" s="67"/>
      <c r="BC86" s="67">
        <v>19568069</v>
      </c>
      <c r="BD86" s="67"/>
      <c r="BE86" s="67">
        <f t="shared" si="48"/>
        <v>22268</v>
      </c>
      <c r="BF86" s="67"/>
      <c r="BG86" s="156">
        <f t="shared" si="42"/>
        <v>4.7238214841810955E-2</v>
      </c>
      <c r="BH86" s="67"/>
      <c r="BI86" s="183"/>
      <c r="BJ86" s="67"/>
      <c r="BK86" s="67"/>
      <c r="BL86" s="67"/>
      <c r="BM86" s="156"/>
      <c r="BN86" s="66">
        <f t="shared" si="49"/>
        <v>254130.76623376625</v>
      </c>
      <c r="BO86" s="67"/>
      <c r="BP86" s="67">
        <f t="shared" si="50"/>
        <v>1671729</v>
      </c>
      <c r="BQ86" s="67"/>
      <c r="BR86" s="74">
        <f t="shared" si="51"/>
        <v>8.5431475124091188E-2</v>
      </c>
      <c r="BS86" s="67"/>
      <c r="BT86" s="86"/>
      <c r="BU86" s="183"/>
      <c r="BV86" s="1"/>
      <c r="BW86">
        <f t="shared" si="53"/>
        <v>77</v>
      </c>
    </row>
    <row r="87" spans="2:75" x14ac:dyDescent="0.3">
      <c r="B87" s="171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/>
      <c r="O87" s="16">
        <f t="shared" si="43"/>
        <v>25262.820512820512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113901</v>
      </c>
      <c r="AB87" s="33"/>
      <c r="AC87" s="46">
        <f t="shared" si="44"/>
        <v>5.7803095660999747E-2</v>
      </c>
      <c r="AD87" s="33"/>
      <c r="AE87" s="33">
        <f t="shared" si="45"/>
        <v>1460.2692307692307</v>
      </c>
      <c r="AF87" s="50"/>
      <c r="AG87" s="33"/>
      <c r="AH87" s="33"/>
      <c r="AI87" s="231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341">
        <f t="shared" si="46"/>
        <v>0.37485206800304494</v>
      </c>
      <c r="AW87" s="341"/>
      <c r="AX87" s="24">
        <f t="shared" si="47"/>
        <v>9469.8205128205136</v>
      </c>
      <c r="AY87" s="351"/>
      <c r="AZ87" s="10"/>
      <c r="BA87" s="66">
        <f t="shared" si="41"/>
        <v>699286</v>
      </c>
      <c r="BB87" s="67"/>
      <c r="BC87" s="67">
        <v>20267355</v>
      </c>
      <c r="BD87" s="67"/>
      <c r="BE87" s="67">
        <f t="shared" si="48"/>
        <v>25393</v>
      </c>
      <c r="BF87" s="67"/>
      <c r="BG87" s="156">
        <f t="shared" si="42"/>
        <v>3.631275329407424E-2</v>
      </c>
      <c r="BH87" s="67"/>
      <c r="BI87" s="183"/>
      <c r="BJ87" s="67"/>
      <c r="BK87" s="67"/>
      <c r="BL87" s="67"/>
      <c r="BM87" s="156"/>
      <c r="BN87" s="66">
        <f t="shared" si="49"/>
        <v>259837.88461538462</v>
      </c>
      <c r="BO87" s="67"/>
      <c r="BP87" s="67">
        <f t="shared" si="50"/>
        <v>1697122</v>
      </c>
      <c r="BQ87" s="67"/>
      <c r="BR87" s="74">
        <f t="shared" si="51"/>
        <v>8.3736728349604578E-2</v>
      </c>
      <c r="BS87" s="67"/>
      <c r="BT87" s="86"/>
      <c r="BU87" s="183"/>
      <c r="BV87" s="1"/>
      <c r="BW87">
        <f t="shared" si="53"/>
        <v>78</v>
      </c>
    </row>
    <row r="88" spans="2:75" x14ac:dyDescent="0.3">
      <c r="B88" s="475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/>
      <c r="O88" s="16">
        <f t="shared" si="43"/>
        <v>25232.101265822785</v>
      </c>
      <c r="P88" s="41"/>
      <c r="Q88" s="17"/>
      <c r="R88" s="16"/>
      <c r="S88" s="60"/>
      <c r="T88" s="16"/>
      <c r="U88" s="41"/>
      <c r="V88" s="477"/>
      <c r="W88" s="34">
        <v>706</v>
      </c>
      <c r="X88" s="33"/>
      <c r="Y88" s="33"/>
      <c r="Z88" s="33"/>
      <c r="AA88" s="33">
        <f t="shared" si="38"/>
        <v>114607</v>
      </c>
      <c r="AB88" s="33"/>
      <c r="AC88" s="46">
        <f t="shared" si="44"/>
        <v>5.7495073585185838E-2</v>
      </c>
      <c r="AD88" s="33"/>
      <c r="AE88" s="33">
        <f t="shared" si="45"/>
        <v>1450.7215189873418</v>
      </c>
      <c r="AF88" s="50"/>
      <c r="AG88" s="33"/>
      <c r="AH88" s="33"/>
      <c r="AI88" s="231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341">
        <f t="shared" si="46"/>
        <v>0.37710401056319659</v>
      </c>
      <c r="AW88" s="341"/>
      <c r="AX88" s="24">
        <f t="shared" si="47"/>
        <v>9515.1265822784808</v>
      </c>
      <c r="AY88" s="351"/>
      <c r="AZ88" s="10"/>
      <c r="BA88" s="66">
        <f t="shared" si="41"/>
        <v>551073</v>
      </c>
      <c r="BB88" s="67"/>
      <c r="BC88" s="67">
        <v>20818428</v>
      </c>
      <c r="BD88" s="67"/>
      <c r="BE88" s="67">
        <f t="shared" si="48"/>
        <v>22836</v>
      </c>
      <c r="BF88" s="67"/>
      <c r="BG88" s="156">
        <f t="shared" si="42"/>
        <v>4.1439155973890938E-2</v>
      </c>
      <c r="BH88" s="67"/>
      <c r="BI88" s="183"/>
      <c r="BJ88" s="67"/>
      <c r="BK88" s="67"/>
      <c r="BL88" s="67"/>
      <c r="BM88" s="156"/>
      <c r="BN88" s="66">
        <f t="shared" si="49"/>
        <v>263524.40506329114</v>
      </c>
      <c r="BO88" s="67"/>
      <c r="BP88" s="67">
        <f t="shared" si="50"/>
        <v>1719958</v>
      </c>
      <c r="BQ88" s="67"/>
      <c r="BR88" s="74">
        <f t="shared" si="51"/>
        <v>8.2617092894814156E-2</v>
      </c>
      <c r="BS88" s="67"/>
      <c r="BT88" s="86"/>
      <c r="BU88" s="183"/>
      <c r="BV88" s="1"/>
      <c r="BW88">
        <f t="shared" si="53"/>
        <v>79</v>
      </c>
    </row>
    <row r="89" spans="2:75" x14ac:dyDescent="0.3">
      <c r="B89" s="390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/>
      <c r="O89" s="16">
        <f t="shared" si="43"/>
        <v>25146.387500000001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91"/>
      <c r="W89" s="34">
        <v>542</v>
      </c>
      <c r="X89" s="33"/>
      <c r="Y89" s="33"/>
      <c r="Z89" s="33"/>
      <c r="AA89" s="33">
        <f t="shared" si="38"/>
        <v>115149</v>
      </c>
      <c r="AB89" s="33"/>
      <c r="AC89" s="46">
        <f t="shared" si="44"/>
        <v>5.7239335073477254E-2</v>
      </c>
      <c r="AD89" s="33"/>
      <c r="AE89" s="33">
        <f t="shared" si="45"/>
        <v>1439.3625</v>
      </c>
      <c r="AF89" s="50"/>
      <c r="AG89" s="33">
        <f>SUM(W83:W89)</f>
        <v>6201</v>
      </c>
      <c r="AH89" s="33"/>
      <c r="AI89" s="231">
        <f>+(AG89-AG82)/AG82</f>
        <v>-0.10065264684554025</v>
      </c>
      <c r="AJ89" s="50"/>
      <c r="AK89" s="391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341">
        <f t="shared" si="46"/>
        <v>0.37863689168076331</v>
      </c>
      <c r="AW89" s="341"/>
      <c r="AX89" s="24">
        <f t="shared" si="47"/>
        <v>9521.35</v>
      </c>
      <c r="AY89" s="351"/>
      <c r="AZ89" s="391"/>
      <c r="BA89" s="66">
        <f t="shared" si="41"/>
        <v>473249</v>
      </c>
      <c r="BB89" s="67"/>
      <c r="BC89" s="67">
        <v>21291677</v>
      </c>
      <c r="BD89" s="67"/>
      <c r="BE89" s="67">
        <f t="shared" si="48"/>
        <v>18375</v>
      </c>
      <c r="BF89" s="67"/>
      <c r="BG89" s="156">
        <f t="shared" si="42"/>
        <v>3.8827340364163472E-2</v>
      </c>
      <c r="BH89" s="67"/>
      <c r="BI89" s="183"/>
      <c r="BJ89" s="67"/>
      <c r="BK89" s="67">
        <f>SUM(BA83:BA89)</f>
        <v>3619110</v>
      </c>
      <c r="BL89" s="67"/>
      <c r="BM89" s="156">
        <f>+Q89/BK89</f>
        <v>4.2409597939824982E-2</v>
      </c>
      <c r="BN89" s="66">
        <f t="shared" si="49"/>
        <v>266145.96250000002</v>
      </c>
      <c r="BO89" s="67"/>
      <c r="BP89" s="67">
        <f t="shared" si="50"/>
        <v>1738333</v>
      </c>
      <c r="BQ89" s="67"/>
      <c r="BR89" s="74">
        <f t="shared" si="51"/>
        <v>8.1643780337265118E-2</v>
      </c>
      <c r="BS89" s="67"/>
      <c r="BT89" s="86"/>
      <c r="BU89" s="183"/>
      <c r="BV89" s="1"/>
      <c r="BW89">
        <f t="shared" si="53"/>
        <v>80</v>
      </c>
    </row>
    <row r="90" spans="2:75" x14ac:dyDescent="0.3">
      <c r="B90" s="171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/>
      <c r="O90" s="16">
        <f t="shared" si="43"/>
        <v>25071.04938271605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115735</v>
      </c>
      <c r="AB90" s="33"/>
      <c r="AC90" s="46">
        <f t="shared" si="44"/>
        <v>5.6991119066554068E-2</v>
      </c>
      <c r="AD90" s="33"/>
      <c r="AE90" s="33">
        <f t="shared" si="45"/>
        <v>1428.8271604938273</v>
      </c>
      <c r="AF90" s="50"/>
      <c r="AG90" s="33"/>
      <c r="AH90" s="33"/>
      <c r="AI90" s="231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341">
        <f t="shared" si="46"/>
        <v>0.38088297209658478</v>
      </c>
      <c r="AW90" s="341"/>
      <c r="AX90" s="24">
        <f t="shared" si="47"/>
        <v>9549.1358024691363</v>
      </c>
      <c r="AY90" s="351"/>
      <c r="AZ90" s="10"/>
      <c r="BA90" s="66">
        <f t="shared" si="41"/>
        <v>433387</v>
      </c>
      <c r="BB90" s="67"/>
      <c r="BC90" s="67">
        <v>21725064</v>
      </c>
      <c r="BD90" s="67"/>
      <c r="BE90" s="67">
        <f t="shared" si="48"/>
        <v>19044</v>
      </c>
      <c r="BF90" s="67"/>
      <c r="BG90" s="156">
        <f t="shared" si="42"/>
        <v>4.3942250229010098E-2</v>
      </c>
      <c r="BH90" s="67"/>
      <c r="BI90" s="183"/>
      <c r="BJ90" s="67"/>
      <c r="BK90" s="67"/>
      <c r="BL90" s="67"/>
      <c r="BM90" s="156"/>
      <c r="BN90" s="66">
        <f t="shared" si="49"/>
        <v>268210.66666666669</v>
      </c>
      <c r="BO90" s="67"/>
      <c r="BP90" s="67">
        <f t="shared" si="50"/>
        <v>1757377</v>
      </c>
      <c r="BQ90" s="67"/>
      <c r="BR90" s="74">
        <f t="shared" si="51"/>
        <v>8.0891683449125854E-2</v>
      </c>
      <c r="BS90" s="67"/>
      <c r="BT90" s="86"/>
      <c r="BU90" s="183"/>
      <c r="BV90" s="1"/>
      <c r="BW90">
        <f t="shared" si="53"/>
        <v>81</v>
      </c>
    </row>
    <row r="91" spans="2:75" x14ac:dyDescent="0.3">
      <c r="B91" s="171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/>
      <c r="O91" s="16">
        <f t="shared" si="43"/>
        <v>24997.695121951219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116828</v>
      </c>
      <c r="AB91" s="33"/>
      <c r="AC91" s="46">
        <f t="shared" si="44"/>
        <v>5.6994522909673134E-2</v>
      </c>
      <c r="AD91" s="33"/>
      <c r="AE91" s="33">
        <f t="shared" si="45"/>
        <v>1424.7317073170732</v>
      </c>
      <c r="AF91" s="50"/>
      <c r="AG91" s="33"/>
      <c r="AH91" s="33"/>
      <c r="AI91" s="231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341">
        <f t="shared" si="46"/>
        <v>0.38484621265082486</v>
      </c>
      <c r="AW91" s="341"/>
      <c r="AX91" s="24">
        <f t="shared" si="47"/>
        <v>9620.2682926829275</v>
      </c>
      <c r="AY91" s="351"/>
      <c r="AZ91" s="10"/>
      <c r="BA91" s="66">
        <f t="shared" si="41"/>
        <v>415612</v>
      </c>
      <c r="BB91" s="67"/>
      <c r="BC91" s="67">
        <v>22140676</v>
      </c>
      <c r="BD91" s="67"/>
      <c r="BE91" s="67">
        <f t="shared" si="48"/>
        <v>19056</v>
      </c>
      <c r="BF91" s="67"/>
      <c r="BG91" s="156">
        <f t="shared" si="42"/>
        <v>4.5850456675938137E-2</v>
      </c>
      <c r="BH91" s="67"/>
      <c r="BI91" s="183"/>
      <c r="BJ91" s="67"/>
      <c r="BK91" s="67"/>
      <c r="BL91" s="67"/>
      <c r="BM91" s="156"/>
      <c r="BN91" s="66">
        <f t="shared" si="49"/>
        <v>270008.24390243902</v>
      </c>
      <c r="BO91" s="67"/>
      <c r="BP91" s="67">
        <f t="shared" si="50"/>
        <v>1776433</v>
      </c>
      <c r="BQ91" s="67"/>
      <c r="BR91" s="74">
        <f t="shared" si="51"/>
        <v>8.0233909750542398E-2</v>
      </c>
      <c r="BS91" s="67"/>
      <c r="BT91" s="86"/>
      <c r="BU91" s="183"/>
      <c r="BV91" s="1"/>
      <c r="BW91">
        <f t="shared" si="53"/>
        <v>82</v>
      </c>
    </row>
    <row r="92" spans="2:75" x14ac:dyDescent="0.3">
      <c r="B92" s="171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/>
      <c r="O92" s="16">
        <f t="shared" si="43"/>
        <v>24947.746987951807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117810</v>
      </c>
      <c r="AB92" s="33"/>
      <c r="AC92" s="46">
        <f t="shared" si="44"/>
        <v>5.6894820644402301E-2</v>
      </c>
      <c r="AD92" s="33"/>
      <c r="AE92" s="33">
        <f t="shared" si="45"/>
        <v>1419.3975903614457</v>
      </c>
      <c r="AF92" s="50"/>
      <c r="AG92" s="33"/>
      <c r="AH92" s="33"/>
      <c r="AI92" s="231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341">
        <f t="shared" si="46"/>
        <v>0.39045175385854675</v>
      </c>
      <c r="AW92" s="341"/>
      <c r="AX92" s="24">
        <f t="shared" si="47"/>
        <v>9740.8915662650597</v>
      </c>
      <c r="AY92" s="351"/>
      <c r="AZ92" s="10"/>
      <c r="BA92" s="66">
        <f t="shared" si="41"/>
        <v>485082</v>
      </c>
      <c r="BB92" s="67"/>
      <c r="BC92" s="67">
        <v>22625758</v>
      </c>
      <c r="BD92" s="67"/>
      <c r="BE92" s="67">
        <f t="shared" si="48"/>
        <v>20852</v>
      </c>
      <c r="BF92" s="67"/>
      <c r="BG92" s="156">
        <f t="shared" si="42"/>
        <v>4.298654660449161E-2</v>
      </c>
      <c r="BH92" s="67"/>
      <c r="BI92" s="183"/>
      <c r="BJ92" s="67"/>
      <c r="BK92" s="67"/>
      <c r="BL92" s="67"/>
      <c r="BM92" s="156"/>
      <c r="BN92" s="66">
        <f t="shared" si="49"/>
        <v>272599.49397590361</v>
      </c>
      <c r="BO92" s="67"/>
      <c r="BP92" s="67">
        <f t="shared" si="50"/>
        <v>1797285</v>
      </c>
      <c r="BQ92" s="67"/>
      <c r="BR92" s="74">
        <f t="shared" si="51"/>
        <v>7.9435349746072595E-2</v>
      </c>
      <c r="BS92" s="67"/>
      <c r="BT92" s="86"/>
      <c r="BU92" s="183"/>
      <c r="BV92" s="1"/>
      <c r="BW92">
        <f t="shared" si="53"/>
        <v>83</v>
      </c>
    </row>
    <row r="93" spans="2:75" x14ac:dyDescent="0.3">
      <c r="B93" s="171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/>
      <c r="O93" s="16">
        <f t="shared" si="43"/>
        <v>24928.130952380954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118714</v>
      </c>
      <c r="AB93" s="33"/>
      <c r="AC93" s="46">
        <f t="shared" si="44"/>
        <v>5.669345637912418E-2</v>
      </c>
      <c r="AD93" s="33"/>
      <c r="AE93" s="33">
        <f t="shared" si="45"/>
        <v>1413.2619047619048</v>
      </c>
      <c r="AF93" s="50"/>
      <c r="AG93" s="33"/>
      <c r="AH93" s="33"/>
      <c r="AI93" s="231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341">
        <f t="shared" si="46"/>
        <v>0.38865299912176099</v>
      </c>
      <c r="AW93" s="341"/>
      <c r="AX93" s="24">
        <f t="shared" si="47"/>
        <v>9688.3928571428569</v>
      </c>
      <c r="AY93" s="351"/>
      <c r="AZ93" s="10"/>
      <c r="BA93" s="66">
        <f t="shared" si="41"/>
        <v>447712</v>
      </c>
      <c r="BB93" s="67"/>
      <c r="BC93" s="67">
        <v>23073470</v>
      </c>
      <c r="BD93" s="67"/>
      <c r="BE93" s="67">
        <f t="shared" si="48"/>
        <v>23300</v>
      </c>
      <c r="BF93" s="67"/>
      <c r="BG93" s="156">
        <f t="shared" si="42"/>
        <v>5.2042384389964974E-2</v>
      </c>
      <c r="BH93" s="67"/>
      <c r="BI93" s="183"/>
      <c r="BJ93" s="67"/>
      <c r="BK93" s="67"/>
      <c r="BL93" s="67"/>
      <c r="BM93" s="156"/>
      <c r="BN93" s="66">
        <f t="shared" si="49"/>
        <v>274684.16666666669</v>
      </c>
      <c r="BO93" s="67"/>
      <c r="BP93" s="67">
        <f t="shared" si="50"/>
        <v>1820585</v>
      </c>
      <c r="BQ93" s="67"/>
      <c r="BR93" s="74">
        <f t="shared" si="51"/>
        <v>7.8903823308761098E-2</v>
      </c>
      <c r="BS93" s="67"/>
      <c r="BT93" s="86"/>
      <c r="BU93" s="183"/>
      <c r="BV93" s="1"/>
      <c r="BW93">
        <f t="shared" si="53"/>
        <v>84</v>
      </c>
    </row>
    <row r="94" spans="2:75" x14ac:dyDescent="0.3">
      <c r="B94" s="171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/>
      <c r="O94" s="16">
        <f t="shared" si="43"/>
        <v>24955.105882352942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119505</v>
      </c>
      <c r="AB94" s="33"/>
      <c r="AC94" s="46">
        <f t="shared" si="44"/>
        <v>5.6338818320334307E-2</v>
      </c>
      <c r="AD94" s="33"/>
      <c r="AE94" s="33">
        <f t="shared" si="45"/>
        <v>1405.9411764705883</v>
      </c>
      <c r="AF94" s="50"/>
      <c r="AG94" s="33"/>
      <c r="AH94" s="33"/>
      <c r="AI94" s="231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341">
        <f t="shared" si="46"/>
        <v>0.39691700484257847</v>
      </c>
      <c r="AW94" s="341"/>
      <c r="AX94" s="24">
        <f t="shared" si="47"/>
        <v>9905.105882352942</v>
      </c>
      <c r="AY94" s="351"/>
      <c r="AZ94" s="10"/>
      <c r="BA94" s="66">
        <f t="shared" si="41"/>
        <v>718721</v>
      </c>
      <c r="BB94" s="67"/>
      <c r="BC94" s="67">
        <v>23792191</v>
      </c>
      <c r="BD94" s="67"/>
      <c r="BE94" s="67">
        <f t="shared" si="48"/>
        <v>27221</v>
      </c>
      <c r="BF94" s="67"/>
      <c r="BG94" s="156">
        <f t="shared" si="42"/>
        <v>3.7874223794768763E-2</v>
      </c>
      <c r="BH94" s="67"/>
      <c r="BI94" s="183"/>
      <c r="BJ94" s="67"/>
      <c r="BK94" s="67"/>
      <c r="BL94" s="67"/>
      <c r="BM94" s="156"/>
      <c r="BN94" s="66">
        <f t="shared" si="49"/>
        <v>279908.12941176473</v>
      </c>
      <c r="BO94" s="67"/>
      <c r="BP94" s="67">
        <f t="shared" si="50"/>
        <v>1847806</v>
      </c>
      <c r="BQ94" s="67"/>
      <c r="BR94" s="74">
        <f t="shared" si="51"/>
        <v>7.7664389967279604E-2</v>
      </c>
      <c r="BS94" s="67"/>
      <c r="BT94" s="86"/>
      <c r="BU94" s="183"/>
      <c r="BV94" s="1"/>
      <c r="BW94">
        <f t="shared" si="53"/>
        <v>85</v>
      </c>
    </row>
    <row r="95" spans="2:75" x14ac:dyDescent="0.3">
      <c r="B95" s="475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/>
      <c r="O95" s="16">
        <f t="shared" si="43"/>
        <v>24959.139534883721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120207</v>
      </c>
      <c r="AB95" s="33"/>
      <c r="AC95" s="46">
        <f t="shared" si="44"/>
        <v>5.6001762881285971E-2</v>
      </c>
      <c r="AD95" s="33"/>
      <c r="AE95" s="33">
        <f t="shared" si="45"/>
        <v>1397.7558139534883</v>
      </c>
      <c r="AF95" s="50"/>
      <c r="AG95" s="33"/>
      <c r="AH95" s="33"/>
      <c r="AI95" s="231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341">
        <f t="shared" si="46"/>
        <v>0.40061384048160575</v>
      </c>
      <c r="AW95" s="341"/>
      <c r="AX95" s="24">
        <f t="shared" si="47"/>
        <v>9998.9767441860458</v>
      </c>
      <c r="AY95" s="351"/>
      <c r="AZ95" s="10"/>
      <c r="BA95" s="66">
        <f t="shared" si="41"/>
        <v>500980</v>
      </c>
      <c r="BB95" s="67"/>
      <c r="BC95" s="67">
        <v>24293171</v>
      </c>
      <c r="BD95" s="67"/>
      <c r="BE95" s="67">
        <f t="shared" si="48"/>
        <v>25302</v>
      </c>
      <c r="BF95" s="67"/>
      <c r="BG95" s="156">
        <f t="shared" si="42"/>
        <v>5.0505010180047105E-2</v>
      </c>
      <c r="BH95" s="67"/>
      <c r="BI95" s="183"/>
      <c r="BJ95" s="67"/>
      <c r="BK95" s="67"/>
      <c r="BL95" s="67"/>
      <c r="BM95" s="156"/>
      <c r="BN95" s="66">
        <f t="shared" si="49"/>
        <v>282478.73255813954</v>
      </c>
      <c r="BO95" s="67"/>
      <c r="BP95" s="67">
        <f t="shared" si="50"/>
        <v>1873108</v>
      </c>
      <c r="BQ95" s="67"/>
      <c r="BR95" s="74">
        <f t="shared" si="51"/>
        <v>7.7104302274906805E-2</v>
      </c>
      <c r="BS95" s="67"/>
      <c r="BT95" s="86"/>
      <c r="BU95" s="183"/>
      <c r="BV95" s="1"/>
      <c r="BW95">
        <f t="shared" si="53"/>
        <v>86</v>
      </c>
    </row>
    <row r="96" spans="2:75" x14ac:dyDescent="0.3">
      <c r="B96" s="390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/>
      <c r="O96" s="16">
        <f t="shared" si="43"/>
        <v>24902.183908045976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91"/>
      <c r="W96" s="34">
        <v>331</v>
      </c>
      <c r="X96" s="33"/>
      <c r="Y96" s="33"/>
      <c r="Z96" s="33"/>
      <c r="AA96" s="33">
        <f t="shared" si="38"/>
        <v>120538</v>
      </c>
      <c r="AB96" s="33"/>
      <c r="AC96" s="46">
        <f t="shared" si="44"/>
        <v>5.5637459669788461E-2</v>
      </c>
      <c r="AD96" s="33"/>
      <c r="AE96" s="33">
        <f t="shared" si="45"/>
        <v>1385.4942528735633</v>
      </c>
      <c r="AF96" s="50"/>
      <c r="AG96" s="33">
        <f>SUM(W90:W96)</f>
        <v>5389</v>
      </c>
      <c r="AH96" s="33"/>
      <c r="AI96" s="231">
        <f>+(AG96-AG89)/AG89</f>
        <v>-0.13094662151265926</v>
      </c>
      <c r="AJ96" s="50"/>
      <c r="AK96" s="391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341">
        <f t="shared" si="46"/>
        <v>0.40057835485047244</v>
      </c>
      <c r="AW96" s="341"/>
      <c r="AX96" s="24">
        <f t="shared" si="47"/>
        <v>9975.2758620689656</v>
      </c>
      <c r="AY96" s="351"/>
      <c r="AZ96" s="391"/>
      <c r="BA96" s="66">
        <f t="shared" si="41"/>
        <v>497760</v>
      </c>
      <c r="BB96" s="67"/>
      <c r="BC96" s="67">
        <v>24790931</v>
      </c>
      <c r="BD96" s="67"/>
      <c r="BE96" s="67">
        <f t="shared" si="48"/>
        <v>20004</v>
      </c>
      <c r="BF96" s="67"/>
      <c r="BG96" s="156">
        <f t="shared" si="42"/>
        <v>4.0188042430086786E-2</v>
      </c>
      <c r="BH96" s="67"/>
      <c r="BI96" s="183"/>
      <c r="BJ96" s="67"/>
      <c r="BK96" s="67">
        <f>SUM(BA90:BA96)</f>
        <v>3499254</v>
      </c>
      <c r="BL96" s="67"/>
      <c r="BM96" s="156">
        <f>+Q96/BK96</f>
        <v>4.4231999163250227E-2</v>
      </c>
      <c r="BN96" s="66">
        <f t="shared" si="49"/>
        <v>284953.22988505749</v>
      </c>
      <c r="BO96" s="67"/>
      <c r="BP96" s="67">
        <f t="shared" si="50"/>
        <v>1893112</v>
      </c>
      <c r="BQ96" s="67"/>
      <c r="BR96" s="74">
        <f t="shared" si="51"/>
        <v>7.636308616243577E-2</v>
      </c>
      <c r="BS96" s="67"/>
      <c r="BT96" s="86"/>
      <c r="BU96" s="183"/>
      <c r="BV96" s="1"/>
      <c r="BW96">
        <f t="shared" si="53"/>
        <v>87</v>
      </c>
    </row>
    <row r="97" spans="2:75" x14ac:dyDescent="0.3">
      <c r="B97" s="171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/>
      <c r="O97" s="16">
        <f t="shared" ref="O97:O108" si="56">+H97/BW97</f>
        <v>24854.68181818182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120963</v>
      </c>
      <c r="AB97" s="33"/>
      <c r="AC97" s="46">
        <f t="shared" ref="AC97:AC108" si="58">+AA97/H97</f>
        <v>5.5304652681130134E-2</v>
      </c>
      <c r="AD97" s="33"/>
      <c r="AE97" s="33">
        <f t="shared" ref="AE97:AE108" si="59">+AA97/BW97</f>
        <v>1374.5795454545455</v>
      </c>
      <c r="AF97" s="50"/>
      <c r="AG97" s="33"/>
      <c r="AH97" s="33"/>
      <c r="AI97" s="231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341">
        <f t="shared" ref="AV97:AV108" si="62">+AP97/H97</f>
        <v>0.40684945035049186</v>
      </c>
      <c r="AW97" s="341"/>
      <c r="AX97" s="24">
        <f t="shared" ref="AX97:AX108" si="63">+AP97/BW97</f>
        <v>10112.113636363636</v>
      </c>
      <c r="AY97" s="351"/>
      <c r="AZ97" s="10"/>
      <c r="BA97" s="66">
        <f t="shared" ref="BA97:BA108" si="64">+BC97-BC96</f>
        <v>468146</v>
      </c>
      <c r="BB97" s="67"/>
      <c r="BC97" s="67">
        <v>25259077</v>
      </c>
      <c r="BD97" s="67"/>
      <c r="BE97" s="67">
        <f t="shared" ref="BE97:BE108" si="65">+D97</f>
        <v>20722</v>
      </c>
      <c r="BF97" s="67"/>
      <c r="BG97" s="156">
        <f t="shared" ref="BG97:BG108" si="66">+BE97/BA97</f>
        <v>4.4263968932768835E-2</v>
      </c>
      <c r="BH97" s="67"/>
      <c r="BI97" s="183"/>
      <c r="BJ97" s="67"/>
      <c r="BK97" s="67"/>
      <c r="BL97" s="67"/>
      <c r="BM97" s="156"/>
      <c r="BN97" s="66">
        <f t="shared" ref="BN97:BN108" si="67">+BC97/BW97</f>
        <v>287034.96590909088</v>
      </c>
      <c r="BO97" s="67"/>
      <c r="BP97" s="67">
        <f t="shared" ref="BP97:BP108" si="68">+BP96+BE97</f>
        <v>1913834</v>
      </c>
      <c r="BQ97" s="67"/>
      <c r="BR97" s="74">
        <f t="shared" ref="BR97:BR108" si="69">+BP97/BC97</f>
        <v>7.5768168409320741E-2</v>
      </c>
      <c r="BS97" s="67"/>
      <c r="BT97" s="86"/>
      <c r="BU97" s="183"/>
      <c r="BV97" s="1"/>
      <c r="BW97">
        <f t="shared" si="53"/>
        <v>88</v>
      </c>
    </row>
    <row r="98" spans="2:75" x14ac:dyDescent="0.3">
      <c r="B98" s="171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/>
      <c r="O98" s="16">
        <f t="shared" si="56"/>
        <v>24859.617977528091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121809</v>
      </c>
      <c r="AB98" s="33"/>
      <c r="AC98" s="46">
        <f t="shared" si="58"/>
        <v>5.5054765953177077E-2</v>
      </c>
      <c r="AD98" s="33"/>
      <c r="AE98" s="33">
        <f t="shared" si="59"/>
        <v>1368.6404494382023</v>
      </c>
      <c r="AF98" s="50"/>
      <c r="AG98" s="33"/>
      <c r="AH98" s="33"/>
      <c r="AI98" s="231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341">
        <f t="shared" si="62"/>
        <v>0.40815301743814481</v>
      </c>
      <c r="AW98" s="341"/>
      <c r="AX98" s="24">
        <f t="shared" si="63"/>
        <v>10146.528089887641</v>
      </c>
      <c r="AY98" s="351"/>
      <c r="AZ98" s="10"/>
      <c r="BA98" s="66">
        <f t="shared" si="64"/>
        <v>470291</v>
      </c>
      <c r="BB98" s="67"/>
      <c r="BC98" s="67">
        <v>25729368</v>
      </c>
      <c r="BD98" s="67"/>
      <c r="BE98" s="67">
        <f t="shared" si="65"/>
        <v>25294</v>
      </c>
      <c r="BF98" s="67"/>
      <c r="BG98" s="156">
        <f t="shared" si="66"/>
        <v>5.3783721142866864E-2</v>
      </c>
      <c r="BH98" s="67"/>
      <c r="BI98" s="183"/>
      <c r="BJ98" s="67"/>
      <c r="BK98" s="67"/>
      <c r="BL98" s="67"/>
      <c r="BM98" s="156"/>
      <c r="BN98" s="66">
        <f t="shared" si="67"/>
        <v>289094.02247191011</v>
      </c>
      <c r="BO98" s="67"/>
      <c r="BP98" s="67">
        <f t="shared" si="68"/>
        <v>1939128</v>
      </c>
      <c r="BQ98" s="67"/>
      <c r="BR98" s="74">
        <f t="shared" si="69"/>
        <v>7.5366328469475038E-2</v>
      </c>
      <c r="BS98" s="67"/>
      <c r="BT98" s="86"/>
      <c r="BU98" s="183"/>
      <c r="BV98" s="1"/>
      <c r="BW98">
        <f t="shared" si="53"/>
        <v>89</v>
      </c>
    </row>
    <row r="99" spans="2:75" x14ac:dyDescent="0.3">
      <c r="B99" s="171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/>
      <c r="O99" s="16">
        <f t="shared" si="56"/>
        <v>24873.077777777777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122618</v>
      </c>
      <c r="AB99" s="33"/>
      <c r="AC99" s="46">
        <f t="shared" si="58"/>
        <v>5.4774975352645902E-2</v>
      </c>
      <c r="AD99" s="33"/>
      <c r="AE99" s="33">
        <f t="shared" si="59"/>
        <v>1362.4222222222222</v>
      </c>
      <c r="AF99" s="50"/>
      <c r="AG99" s="33"/>
      <c r="AH99" s="33"/>
      <c r="AI99" s="231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341">
        <f t="shared" si="62"/>
        <v>0.41043752348031809</v>
      </c>
      <c r="AW99" s="341"/>
      <c r="AX99" s="24">
        <f t="shared" si="63"/>
        <v>10208.844444444445</v>
      </c>
      <c r="AY99" s="351"/>
      <c r="AZ99" s="10"/>
      <c r="BA99" s="66">
        <f t="shared" si="64"/>
        <v>514443</v>
      </c>
      <c r="BB99" s="67"/>
      <c r="BC99" s="67">
        <v>26243811</v>
      </c>
      <c r="BD99" s="67"/>
      <c r="BE99" s="67">
        <f t="shared" si="65"/>
        <v>26071</v>
      </c>
      <c r="BF99" s="67"/>
      <c r="BG99" s="156">
        <f t="shared" si="66"/>
        <v>5.0678112055174238E-2</v>
      </c>
      <c r="BH99" s="67"/>
      <c r="BI99" s="183"/>
      <c r="BJ99" s="67"/>
      <c r="BK99" s="67"/>
      <c r="BL99" s="67"/>
      <c r="BM99" s="156"/>
      <c r="BN99" s="66">
        <f t="shared" si="67"/>
        <v>291597.90000000002</v>
      </c>
      <c r="BO99" s="67"/>
      <c r="BP99" s="67">
        <f t="shared" si="68"/>
        <v>1965199</v>
      </c>
      <c r="BQ99" s="67"/>
      <c r="BR99" s="74">
        <f t="shared" si="69"/>
        <v>7.4882378934980134E-2</v>
      </c>
      <c r="BS99" s="67"/>
      <c r="BT99" s="86"/>
      <c r="BU99" s="183"/>
      <c r="BV99" s="1"/>
      <c r="BW99">
        <f t="shared" si="53"/>
        <v>90</v>
      </c>
    </row>
    <row r="100" spans="2:75" x14ac:dyDescent="0.3">
      <c r="B100" s="171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/>
      <c r="O100" s="16">
        <f t="shared" si="56"/>
        <v>24906.604395604394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123365</v>
      </c>
      <c r="AB100" s="33"/>
      <c r="AC100" s="46">
        <f t="shared" si="58"/>
        <v>5.4429713465822427E-2</v>
      </c>
      <c r="AD100" s="33"/>
      <c r="AE100" s="33">
        <f t="shared" si="59"/>
        <v>1355.6593406593406</v>
      </c>
      <c r="AF100" s="50"/>
      <c r="AG100" s="33"/>
      <c r="AH100" s="33"/>
      <c r="AI100" s="231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341">
        <f t="shared" si="62"/>
        <v>0.41076266897742381</v>
      </c>
      <c r="AW100" s="341"/>
      <c r="AX100" s="24">
        <f t="shared" si="63"/>
        <v>10230.703296703297</v>
      </c>
      <c r="AY100" s="351"/>
      <c r="AZ100" s="10"/>
      <c r="BA100" s="66">
        <f t="shared" si="64"/>
        <v>479368</v>
      </c>
      <c r="BB100" s="67"/>
      <c r="BC100" s="67">
        <v>26723179</v>
      </c>
      <c r="BD100" s="67"/>
      <c r="BE100" s="67">
        <f t="shared" si="65"/>
        <v>27924</v>
      </c>
      <c r="BF100" s="67"/>
      <c r="BG100" s="156">
        <f t="shared" si="66"/>
        <v>5.825169806912435E-2</v>
      </c>
      <c r="BH100" s="67"/>
      <c r="BI100" s="183"/>
      <c r="BJ100" s="67"/>
      <c r="BK100" s="67"/>
      <c r="BL100" s="67"/>
      <c r="BM100" s="156"/>
      <c r="BN100" s="66">
        <f t="shared" si="67"/>
        <v>293661.30769230769</v>
      </c>
      <c r="BO100" s="67"/>
      <c r="BP100" s="67">
        <f t="shared" si="68"/>
        <v>1993123</v>
      </c>
      <c r="BQ100" s="67"/>
      <c r="BR100" s="74">
        <f t="shared" si="69"/>
        <v>7.4584053042491688E-2</v>
      </c>
      <c r="BS100" s="67"/>
      <c r="BT100" s="86"/>
      <c r="BU100" s="183"/>
      <c r="BV100" s="1"/>
      <c r="BW100">
        <f t="shared" si="53"/>
        <v>91</v>
      </c>
    </row>
    <row r="101" spans="2:75" x14ac:dyDescent="0.3">
      <c r="B101" s="171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/>
      <c r="O101" s="16">
        <f t="shared" si="56"/>
        <v>25000.434782608696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124084</v>
      </c>
      <c r="AB101" s="33"/>
      <c r="AC101" s="46">
        <f t="shared" si="58"/>
        <v>5.3948626980400344E-2</v>
      </c>
      <c r="AD101" s="33"/>
      <c r="AE101" s="33">
        <f t="shared" si="59"/>
        <v>1348.7391304347825</v>
      </c>
      <c r="AF101" s="50"/>
      <c r="AG101" s="33"/>
      <c r="AH101" s="33"/>
      <c r="AI101" s="231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341">
        <f t="shared" si="62"/>
        <v>0.41567146658318987</v>
      </c>
      <c r="AW101" s="341"/>
      <c r="AX101" s="24">
        <f t="shared" si="63"/>
        <v>10391.967391304348</v>
      </c>
      <c r="AY101" s="351"/>
      <c r="AZ101" s="10"/>
      <c r="BA101" s="66">
        <f t="shared" si="64"/>
        <v>614206</v>
      </c>
      <c r="BB101" s="67"/>
      <c r="BC101" s="67">
        <v>27337385</v>
      </c>
      <c r="BD101" s="67"/>
      <c r="BE101" s="67">
        <f t="shared" si="65"/>
        <v>33539</v>
      </c>
      <c r="BF101" s="67"/>
      <c r="BG101" s="156">
        <f t="shared" si="66"/>
        <v>5.460545810363298E-2</v>
      </c>
      <c r="BH101" s="67"/>
      <c r="BI101" s="183"/>
      <c r="BJ101" s="67"/>
      <c r="BK101" s="67"/>
      <c r="BL101" s="67"/>
      <c r="BM101" s="156"/>
      <c r="BN101" s="66">
        <f t="shared" si="67"/>
        <v>297145.48913043475</v>
      </c>
      <c r="BO101" s="67"/>
      <c r="BP101" s="67">
        <f t="shared" si="68"/>
        <v>2026662</v>
      </c>
      <c r="BQ101" s="67"/>
      <c r="BR101" s="74">
        <f t="shared" si="69"/>
        <v>7.4135181547174314E-2</v>
      </c>
      <c r="BS101" s="67"/>
      <c r="BT101" s="86"/>
      <c r="BU101" s="183"/>
      <c r="BV101" s="1"/>
      <c r="BW101">
        <f t="shared" si="53"/>
        <v>92</v>
      </c>
    </row>
    <row r="102" spans="2:75" x14ac:dyDescent="0.3">
      <c r="B102" s="476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/>
      <c r="O102" s="16">
        <f t="shared" si="56"/>
        <v>25090.086021505376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124657</v>
      </c>
      <c r="AB102" s="33"/>
      <c r="AC102" s="46">
        <f t="shared" si="58"/>
        <v>5.3423405894801441E-2</v>
      </c>
      <c r="AD102" s="33"/>
      <c r="AE102" s="33">
        <f t="shared" si="59"/>
        <v>1340.3978494623657</v>
      </c>
      <c r="AF102" s="50"/>
      <c r="AG102" s="33"/>
      <c r="AH102" s="33"/>
      <c r="AI102" s="231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341">
        <f t="shared" si="62"/>
        <v>0.41696673235112358</v>
      </c>
      <c r="AW102" s="341"/>
      <c r="AX102" s="24">
        <f t="shared" si="63"/>
        <v>10461.731182795698</v>
      </c>
      <c r="AY102" s="351"/>
      <c r="AZ102" s="10"/>
      <c r="BA102" s="66">
        <f t="shared" si="64"/>
        <v>638478</v>
      </c>
      <c r="BB102" s="67"/>
      <c r="BC102" s="67">
        <v>27975863</v>
      </c>
      <c r="BD102" s="67"/>
      <c r="BE102" s="67">
        <f t="shared" si="65"/>
        <v>33338</v>
      </c>
      <c r="BF102" s="67"/>
      <c r="BG102" s="156">
        <f t="shared" si="66"/>
        <v>5.2214798317248207E-2</v>
      </c>
      <c r="BH102" s="67"/>
      <c r="BI102" s="183"/>
      <c r="BJ102" s="67"/>
      <c r="BK102" s="67"/>
      <c r="BL102" s="67"/>
      <c r="BM102" s="156"/>
      <c r="BN102" s="66">
        <f t="shared" si="67"/>
        <v>300815.73118279572</v>
      </c>
      <c r="BO102" s="67"/>
      <c r="BP102" s="67">
        <f t="shared" si="68"/>
        <v>2060000</v>
      </c>
      <c r="BQ102" s="67"/>
      <c r="BR102" s="74">
        <f t="shared" si="69"/>
        <v>7.3634904488916034E-2</v>
      </c>
      <c r="BS102" s="67"/>
      <c r="BT102" s="86"/>
      <c r="BU102" s="183"/>
      <c r="BV102" s="1"/>
      <c r="BW102">
        <f t="shared" si="53"/>
        <v>93</v>
      </c>
    </row>
    <row r="103" spans="2:75" x14ac:dyDescent="0.3">
      <c r="B103" s="390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>
        <f>SUM(D97:D103)</f>
        <v>192967</v>
      </c>
      <c r="O103" s="16">
        <f t="shared" si="56"/>
        <v>25100.606382978724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91"/>
      <c r="W103" s="34">
        <v>267</v>
      </c>
      <c r="X103" s="33"/>
      <c r="Y103" s="33"/>
      <c r="Z103" s="33"/>
      <c r="AA103" s="33">
        <f t="shared" si="57"/>
        <v>124924</v>
      </c>
      <c r="AB103" s="33"/>
      <c r="AC103" s="46">
        <f t="shared" si="58"/>
        <v>5.2946080390530531E-2</v>
      </c>
      <c r="AD103" s="33"/>
      <c r="AE103" s="33">
        <f t="shared" si="59"/>
        <v>1328.9787234042553</v>
      </c>
      <c r="AF103" s="50"/>
      <c r="AG103" s="33">
        <f>SUM(W97:W103)</f>
        <v>4386</v>
      </c>
      <c r="AH103" s="33"/>
      <c r="AI103" s="231">
        <f>+(AG103-AG96)/AG96</f>
        <v>-0.18611987381703471</v>
      </c>
      <c r="AJ103" s="50"/>
      <c r="AK103" s="391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341">
        <f t="shared" si="62"/>
        <v>0.41550026128893214</v>
      </c>
      <c r="AW103" s="341"/>
      <c r="AX103" s="24">
        <f t="shared" si="63"/>
        <v>10429.308510638299</v>
      </c>
      <c r="AY103" s="351"/>
      <c r="AZ103" s="391"/>
      <c r="BA103" s="66">
        <f t="shared" si="64"/>
        <v>516127</v>
      </c>
      <c r="BB103" s="67"/>
      <c r="BC103" s="67">
        <v>28491990</v>
      </c>
      <c r="BD103" s="67"/>
      <c r="BE103" s="67">
        <f t="shared" si="65"/>
        <v>26079</v>
      </c>
      <c r="BF103" s="67"/>
      <c r="BG103" s="156">
        <f t="shared" si="66"/>
        <v>5.0528261455029477E-2</v>
      </c>
      <c r="BH103" s="67"/>
      <c r="BI103" s="183"/>
      <c r="BJ103" s="67"/>
      <c r="BK103" s="67">
        <f>SUM(BA97:BA103)</f>
        <v>3701059</v>
      </c>
      <c r="BL103" s="67"/>
      <c r="BM103" s="156">
        <f>+Q103/BK103</f>
        <v>5.2138320410455491E-2</v>
      </c>
      <c r="BN103" s="66">
        <f t="shared" si="67"/>
        <v>303106.27659574465</v>
      </c>
      <c r="BO103" s="67"/>
      <c r="BP103" s="67">
        <f t="shared" si="68"/>
        <v>2086079</v>
      </c>
      <c r="BQ103" s="67"/>
      <c r="BR103" s="478">
        <f t="shared" si="69"/>
        <v>7.3216332028756145E-2</v>
      </c>
      <c r="BS103" s="67"/>
      <c r="BT103" s="86"/>
      <c r="BU103" s="183"/>
      <c r="BV103" s="1"/>
      <c r="BW103">
        <f t="shared" si="53"/>
        <v>94</v>
      </c>
    </row>
    <row r="104" spans="2:75" x14ac:dyDescent="0.3">
      <c r="B104" s="171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/>
      <c r="O104" s="16">
        <f t="shared" si="56"/>
        <v>25167.926315789475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125287</v>
      </c>
      <c r="AB104" s="33"/>
      <c r="AC104" s="46">
        <f t="shared" si="58"/>
        <v>5.2400444508946854E-2</v>
      </c>
      <c r="AD104" s="33"/>
      <c r="AE104" s="33">
        <f t="shared" si="59"/>
        <v>1318.8105263157895</v>
      </c>
      <c r="AF104" s="50"/>
      <c r="AG104" s="33"/>
      <c r="AH104" s="33"/>
      <c r="AI104" s="231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341">
        <f t="shared" si="62"/>
        <v>0.41946830406118396</v>
      </c>
      <c r="AW104" s="341"/>
      <c r="AX104" s="24">
        <f t="shared" si="63"/>
        <v>10557.147368421052</v>
      </c>
      <c r="AY104" s="351"/>
      <c r="AZ104" s="10"/>
      <c r="BA104" s="66">
        <f t="shared" si="64"/>
        <v>521192</v>
      </c>
      <c r="BB104" s="67"/>
      <c r="BC104" s="67">
        <v>29013182</v>
      </c>
      <c r="BD104" s="67"/>
      <c r="BE104" s="67">
        <f t="shared" si="65"/>
        <v>31496</v>
      </c>
      <c r="BF104" s="67"/>
      <c r="BG104" s="156">
        <f t="shared" si="66"/>
        <v>6.0430704999309276E-2</v>
      </c>
      <c r="BH104" s="67"/>
      <c r="BI104" s="183"/>
      <c r="BJ104" s="67"/>
      <c r="BK104" s="67"/>
      <c r="BL104" s="67"/>
      <c r="BM104" s="156"/>
      <c r="BN104" s="66">
        <f t="shared" si="67"/>
        <v>305401.91578947369</v>
      </c>
      <c r="BO104" s="67"/>
      <c r="BP104" s="67">
        <f t="shared" si="68"/>
        <v>2117575</v>
      </c>
      <c r="BQ104" s="67"/>
      <c r="BR104" s="478">
        <f t="shared" si="69"/>
        <v>7.2986651377983977E-2</v>
      </c>
      <c r="BS104" s="67"/>
      <c r="BT104" s="86"/>
      <c r="BU104" s="183"/>
      <c r="BV104" s="1"/>
      <c r="BW104">
        <f t="shared" si="53"/>
        <v>95</v>
      </c>
    </row>
    <row r="105" spans="2:75" x14ac:dyDescent="0.3">
      <c r="B105" s="171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/>
      <c r="O105" s="16">
        <f t="shared" si="56"/>
        <v>25281.15625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126158</v>
      </c>
      <c r="AB105" s="33"/>
      <c r="AC105" s="46">
        <f t="shared" si="58"/>
        <v>5.1981239320623769E-2</v>
      </c>
      <c r="AD105" s="33"/>
      <c r="AE105" s="33">
        <f t="shared" si="59"/>
        <v>1314.1458333333333</v>
      </c>
      <c r="AF105" s="50"/>
      <c r="AG105" s="33"/>
      <c r="AH105" s="33"/>
      <c r="AI105" s="231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341">
        <f t="shared" si="62"/>
        <v>0.42043048367299263</v>
      </c>
      <c r="AW105" s="341"/>
      <c r="AX105" s="24">
        <f t="shared" si="63"/>
        <v>10628.96875</v>
      </c>
      <c r="AY105" s="351"/>
      <c r="AZ105" s="10"/>
      <c r="BA105" s="66">
        <f t="shared" si="64"/>
        <v>539508</v>
      </c>
      <c r="BB105" s="67"/>
      <c r="BC105" s="67">
        <v>29552690</v>
      </c>
      <c r="BD105" s="67"/>
      <c r="BE105" s="67">
        <f t="shared" si="65"/>
        <v>36038</v>
      </c>
      <c r="BF105" s="67"/>
      <c r="BG105" s="156">
        <f t="shared" si="66"/>
        <v>6.6797897343505566E-2</v>
      </c>
      <c r="BH105" s="67"/>
      <c r="BI105" s="183"/>
      <c r="BJ105" s="67"/>
      <c r="BK105" s="67"/>
      <c r="BL105" s="67"/>
      <c r="BM105" s="156"/>
      <c r="BN105" s="66">
        <f t="shared" si="67"/>
        <v>307840.52083333331</v>
      </c>
      <c r="BO105" s="67"/>
      <c r="BP105" s="67">
        <f t="shared" si="68"/>
        <v>2153613</v>
      </c>
      <c r="BQ105" s="67"/>
      <c r="BR105" s="478">
        <f t="shared" si="69"/>
        <v>7.2873670721683881E-2</v>
      </c>
      <c r="BS105" s="67"/>
      <c r="BT105" s="86"/>
      <c r="BU105" s="183"/>
      <c r="BV105" s="1"/>
      <c r="BW105">
        <f t="shared" si="53"/>
        <v>96</v>
      </c>
    </row>
    <row r="106" spans="2:75" x14ac:dyDescent="0.3">
      <c r="B106" s="171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/>
      <c r="O106" s="16">
        <f t="shared" si="56"/>
        <v>25416.525773195877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126977</v>
      </c>
      <c r="AB106" s="33"/>
      <c r="AC106" s="46">
        <f t="shared" si="58"/>
        <v>5.1503547290240176E-2</v>
      </c>
      <c r="AD106" s="33"/>
      <c r="AE106" s="33">
        <f t="shared" si="59"/>
        <v>1309.0412371134021</v>
      </c>
      <c r="AF106" s="50"/>
      <c r="AG106" s="33"/>
      <c r="AH106" s="33"/>
      <c r="AI106" s="231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341">
        <f t="shared" si="62"/>
        <v>0.42208312393551883</v>
      </c>
      <c r="AW106" s="341"/>
      <c r="AX106" s="24">
        <f t="shared" si="63"/>
        <v>10727.886597938144</v>
      </c>
      <c r="AY106" s="351"/>
      <c r="AZ106" s="10"/>
      <c r="BA106" s="66">
        <f t="shared" si="64"/>
        <v>507174</v>
      </c>
      <c r="BB106" s="67"/>
      <c r="BC106" s="67">
        <f>30059864</f>
        <v>30059864</v>
      </c>
      <c r="BD106" s="67"/>
      <c r="BE106" s="67">
        <f t="shared" si="65"/>
        <v>38412</v>
      </c>
      <c r="BF106" s="67"/>
      <c r="BG106" s="156">
        <f t="shared" si="66"/>
        <v>7.5737320919447765E-2</v>
      </c>
      <c r="BH106" s="67"/>
      <c r="BI106" s="183"/>
      <c r="BJ106" s="67"/>
      <c r="BK106" s="67"/>
      <c r="BL106" s="67"/>
      <c r="BM106" s="156"/>
      <c r="BN106" s="66">
        <f t="shared" si="67"/>
        <v>309895.50515463919</v>
      </c>
      <c r="BO106" s="67"/>
      <c r="BP106" s="67">
        <f t="shared" si="68"/>
        <v>2192025</v>
      </c>
      <c r="BQ106" s="67"/>
      <c r="BR106" s="478">
        <f t="shared" si="69"/>
        <v>7.2921986606459696E-2</v>
      </c>
      <c r="BS106" s="67"/>
      <c r="BT106" s="86"/>
      <c r="BU106" s="183"/>
      <c r="BV106" s="1"/>
      <c r="BW106">
        <f t="shared" si="53"/>
        <v>97</v>
      </c>
    </row>
    <row r="107" spans="2:75" x14ac:dyDescent="0.3">
      <c r="B107" s="171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/>
      <c r="O107" s="16">
        <f t="shared" si="56"/>
        <v>25567.5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127630</v>
      </c>
      <c r="AB107" s="33"/>
      <c r="AC107" s="46">
        <f t="shared" si="58"/>
        <v>5.0937594163508758E-2</v>
      </c>
      <c r="AD107" s="33"/>
      <c r="AE107" s="33">
        <f t="shared" si="59"/>
        <v>1302.3469387755101</v>
      </c>
      <c r="AF107" s="50"/>
      <c r="AG107" s="33"/>
      <c r="AH107" s="33"/>
      <c r="AI107" s="231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341">
        <f t="shared" si="62"/>
        <v>0.41997393853405252</v>
      </c>
      <c r="AW107" s="341"/>
      <c r="AX107" s="24">
        <f t="shared" si="63"/>
        <v>10737.683673469388</v>
      </c>
      <c r="AY107" s="351"/>
      <c r="AZ107" s="10"/>
      <c r="BA107" s="66">
        <f t="shared" si="64"/>
        <v>672688</v>
      </c>
      <c r="BB107" s="67"/>
      <c r="BC107" s="67">
        <v>30732552</v>
      </c>
      <c r="BD107" s="67"/>
      <c r="BE107" s="67">
        <f t="shared" si="65"/>
        <v>40212</v>
      </c>
      <c r="BF107" s="67"/>
      <c r="BG107" s="156">
        <f t="shared" si="66"/>
        <v>5.9778084342221059E-2</v>
      </c>
      <c r="BH107" s="67"/>
      <c r="BI107" s="183"/>
      <c r="BJ107" s="67"/>
      <c r="BK107" s="67"/>
      <c r="BL107" s="67"/>
      <c r="BM107" s="156"/>
      <c r="BN107" s="66">
        <f t="shared" si="67"/>
        <v>313597.46938775509</v>
      </c>
      <c r="BO107" s="67"/>
      <c r="BP107" s="67">
        <f t="shared" si="68"/>
        <v>2232237</v>
      </c>
      <c r="BQ107" s="67"/>
      <c r="BR107" s="478">
        <f t="shared" si="69"/>
        <v>7.2634286928075484E-2</v>
      </c>
      <c r="BS107" s="67"/>
      <c r="BT107" s="86"/>
      <c r="BU107" s="183"/>
      <c r="BV107" s="1"/>
      <c r="BW107">
        <f t="shared" si="53"/>
        <v>98</v>
      </c>
    </row>
    <row r="108" spans="2:75" x14ac:dyDescent="0.3">
      <c r="B108" s="171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/>
      <c r="O108" s="16">
        <f t="shared" si="56"/>
        <v>25787.434343434343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128293</v>
      </c>
      <c r="AB108" s="33"/>
      <c r="AC108" s="46">
        <f t="shared" si="58"/>
        <v>5.0252726643154055E-2</v>
      </c>
      <c r="AD108" s="33"/>
      <c r="AE108" s="33">
        <f t="shared" si="59"/>
        <v>1295.8888888888889</v>
      </c>
      <c r="AF108" s="50"/>
      <c r="AG108" s="33"/>
      <c r="AH108" s="33"/>
      <c r="AI108" s="231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341">
        <f t="shared" si="62"/>
        <v>0.41861395182682348</v>
      </c>
      <c r="AW108" s="341"/>
      <c r="AX108" s="24">
        <f t="shared" si="63"/>
        <v>10794.979797979799</v>
      </c>
      <c r="AY108" s="351"/>
      <c r="AZ108" s="10"/>
      <c r="BA108" s="66">
        <f t="shared" si="64"/>
        <v>619948</v>
      </c>
      <c r="BB108" s="67"/>
      <c r="BC108" s="67">
        <v>31352500</v>
      </c>
      <c r="BD108" s="67"/>
      <c r="BE108" s="67">
        <f t="shared" si="65"/>
        <v>47341</v>
      </c>
      <c r="BF108" s="67"/>
      <c r="BG108" s="156">
        <f t="shared" si="66"/>
        <v>7.6362856239555577E-2</v>
      </c>
      <c r="BH108" s="67"/>
      <c r="BI108" s="183"/>
      <c r="BJ108" s="67"/>
      <c r="BK108" s="67"/>
      <c r="BL108" s="67"/>
      <c r="BM108" s="156"/>
      <c r="BN108" s="66">
        <f t="shared" si="67"/>
        <v>316691.91919191921</v>
      </c>
      <c r="BO108" s="67"/>
      <c r="BP108" s="67">
        <f t="shared" si="68"/>
        <v>2279578</v>
      </c>
      <c r="BQ108" s="67"/>
      <c r="BR108" s="478">
        <f t="shared" si="69"/>
        <v>7.2708013715014758E-2</v>
      </c>
      <c r="BS108" s="67"/>
      <c r="BT108" s="86"/>
      <c r="BU108" s="183"/>
      <c r="BV108" s="1"/>
      <c r="BW108">
        <f t="shared" si="53"/>
        <v>99</v>
      </c>
    </row>
    <row r="109" spans="2:75" x14ac:dyDescent="0.3">
      <c r="B109" s="171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/>
      <c r="O109" s="16">
        <f t="shared" ref="O109:O126" si="71">+H109/BW109</f>
        <v>25965.37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128805</v>
      </c>
      <c r="AB109" s="33"/>
      <c r="AC109" s="46">
        <f t="shared" ref="AC109:AC126" si="73">+AA109/H109</f>
        <v>4.9606456599694128E-2</v>
      </c>
      <c r="AD109" s="33"/>
      <c r="AE109" s="33">
        <f t="shared" ref="AE109:AE126" si="74">+AA109/BW109</f>
        <v>1288.05</v>
      </c>
      <c r="AF109" s="50"/>
      <c r="AG109" s="33"/>
      <c r="AH109" s="33"/>
      <c r="AI109" s="231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504">
        <f t="shared" ref="AR109:AR126" si="76">+AL109/AP108</f>
        <v>1.1915377799070462E-2</v>
      </c>
      <c r="AS109" s="25"/>
      <c r="AT109" s="25"/>
      <c r="AU109" s="24"/>
      <c r="AV109" s="341">
        <f t="shared" ref="AV109:AV126" si="77">+AP109/H109</f>
        <v>0.41649204305580856</v>
      </c>
      <c r="AW109" s="341"/>
      <c r="AX109" s="24">
        <f t="shared" ref="AX109:AX126" si="78">+AP109/BW109</f>
        <v>10814.37</v>
      </c>
      <c r="AY109" s="351"/>
      <c r="AZ109" s="10"/>
      <c r="BA109" s="66">
        <f t="shared" ref="BA109:BA126" si="79">+BC109-BC108</f>
        <v>645524</v>
      </c>
      <c r="BB109" s="67"/>
      <c r="BC109" s="67">
        <v>31998024</v>
      </c>
      <c r="BD109" s="67"/>
      <c r="BE109" s="67">
        <f t="shared" ref="BE109:BE126" si="80">+D109</f>
        <v>43581</v>
      </c>
      <c r="BF109" s="67"/>
      <c r="BG109" s="156">
        <f t="shared" ref="BG109:BG126" si="81">+BE109/BA109</f>
        <v>6.7512594419417399E-2</v>
      </c>
      <c r="BH109" s="67"/>
      <c r="BI109" s="183"/>
      <c r="BJ109" s="67"/>
      <c r="BK109" s="67"/>
      <c r="BL109" s="67"/>
      <c r="BM109" s="156"/>
      <c r="BN109" s="66">
        <f t="shared" ref="BN109:BN126" si="82">+BC109/BW109</f>
        <v>319980.24</v>
      </c>
      <c r="BO109" s="67"/>
      <c r="BP109" s="67">
        <f t="shared" ref="BP109:BP126" si="83">+BP108+BE109</f>
        <v>2323159</v>
      </c>
      <c r="BQ109" s="67"/>
      <c r="BR109" s="478">
        <f t="shared" ref="BR109:BR126" si="84">+BP109/BC109</f>
        <v>7.2603201997723354E-2</v>
      </c>
      <c r="BS109" s="67"/>
      <c r="BT109" s="86"/>
      <c r="BU109" s="183"/>
      <c r="BV109" s="1"/>
      <c r="BW109">
        <f t="shared" si="53"/>
        <v>100</v>
      </c>
    </row>
    <row r="110" spans="2:75" x14ac:dyDescent="0.3">
      <c r="B110" s="390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>
        <f>SUM(D104:D110)</f>
        <v>277620</v>
      </c>
      <c r="O110" s="16">
        <f t="shared" si="71"/>
        <v>26109.673267326732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91">
        <f>+V109+1</f>
        <v>2</v>
      </c>
      <c r="W110" s="34">
        <v>285</v>
      </c>
      <c r="X110" s="33"/>
      <c r="Y110" s="33"/>
      <c r="Z110" s="33"/>
      <c r="AA110" s="33">
        <f t="shared" si="72"/>
        <v>129090</v>
      </c>
      <c r="AB110" s="33"/>
      <c r="AC110" s="46">
        <f t="shared" si="73"/>
        <v>4.8951926697627712E-2</v>
      </c>
      <c r="AD110" s="33"/>
      <c r="AE110" s="33">
        <f t="shared" si="74"/>
        <v>1278.1188118811881</v>
      </c>
      <c r="AF110" s="50"/>
      <c r="AG110" s="33">
        <f>SUM(W104:W110)</f>
        <v>4166</v>
      </c>
      <c r="AH110" s="33"/>
      <c r="AI110" s="231">
        <f>+(AG110-AG103)/AG103</f>
        <v>-5.0159598723210214E-2</v>
      </c>
      <c r="AJ110" s="50"/>
      <c r="AK110" s="391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504">
        <f t="shared" si="76"/>
        <v>1.1113916020997988E-2</v>
      </c>
      <c r="AS110" s="25"/>
      <c r="AT110" s="25"/>
      <c r="AU110" s="24"/>
      <c r="AV110" s="341">
        <f t="shared" si="77"/>
        <v>0.41464697466171824</v>
      </c>
      <c r="AW110" s="341"/>
      <c r="AX110" s="24">
        <f t="shared" si="78"/>
        <v>10826.29702970297</v>
      </c>
      <c r="AY110" s="351"/>
      <c r="AZ110" s="391"/>
      <c r="BA110" s="66">
        <f t="shared" si="79"/>
        <v>594344</v>
      </c>
      <c r="BB110" s="67"/>
      <c r="BC110" s="67">
        <f>32592368</f>
        <v>32592368</v>
      </c>
      <c r="BD110" s="67"/>
      <c r="BE110" s="67">
        <f t="shared" si="80"/>
        <v>40540</v>
      </c>
      <c r="BF110" s="67"/>
      <c r="BG110" s="156">
        <f t="shared" si="81"/>
        <v>6.8209656360626175E-2</v>
      </c>
      <c r="BH110" s="67"/>
      <c r="BI110" s="183"/>
      <c r="BJ110" s="67"/>
      <c r="BK110" s="67">
        <f>SUM(BA104:BA110)</f>
        <v>4100378</v>
      </c>
      <c r="BL110" s="67"/>
      <c r="BM110" s="156">
        <f>+Q110/BK110</f>
        <v>6.7705952963360932E-2</v>
      </c>
      <c r="BN110" s="66">
        <f t="shared" si="82"/>
        <v>322696.71287128713</v>
      </c>
      <c r="BO110" s="67"/>
      <c r="BP110" s="67">
        <f t="shared" si="83"/>
        <v>2363699</v>
      </c>
      <c r="BQ110" s="67"/>
      <c r="BR110" s="478">
        <f t="shared" si="84"/>
        <v>7.2523082704515365E-2</v>
      </c>
      <c r="BS110" s="67"/>
      <c r="BT110" s="86"/>
      <c r="BU110" s="183"/>
      <c r="BV110" s="1"/>
      <c r="BW110">
        <f t="shared" si="53"/>
        <v>101</v>
      </c>
    </row>
    <row r="111" spans="2:75" x14ac:dyDescent="0.3">
      <c r="B111" s="171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/>
      <c r="O111" s="16">
        <f t="shared" si="71"/>
        <v>26292.264705882353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129436</v>
      </c>
      <c r="AB111" s="33"/>
      <c r="AC111" s="46">
        <f t="shared" si="73"/>
        <v>4.8264400436868964E-2</v>
      </c>
      <c r="AD111" s="33"/>
      <c r="AE111" s="33">
        <f t="shared" si="74"/>
        <v>1268.9803921568628</v>
      </c>
      <c r="AF111" s="50"/>
      <c r="AG111" s="33"/>
      <c r="AH111" s="33"/>
      <c r="AI111" s="231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504">
        <f t="shared" si="76"/>
        <v>2.1693602668968848E-2</v>
      </c>
      <c r="AS111" s="25"/>
      <c r="AT111" s="25"/>
      <c r="AU111" s="24"/>
      <c r="AV111" s="341">
        <f t="shared" si="77"/>
        <v>0.41657559015158041</v>
      </c>
      <c r="AW111" s="341"/>
      <c r="AX111" s="24">
        <f t="shared" si="78"/>
        <v>10952.715686274511</v>
      </c>
      <c r="AY111" s="351"/>
      <c r="AZ111" s="10"/>
      <c r="BA111" s="66">
        <f t="shared" si="79"/>
        <v>597145</v>
      </c>
      <c r="BB111" s="67"/>
      <c r="BC111" s="67">
        <v>33189513</v>
      </c>
      <c r="BD111" s="67"/>
      <c r="BE111" s="67">
        <f t="shared" si="80"/>
        <v>44734</v>
      </c>
      <c r="BF111" s="67"/>
      <c r="BG111" s="156">
        <f t="shared" si="81"/>
        <v>7.4913128302171159E-2</v>
      </c>
      <c r="BH111" s="67"/>
      <c r="BI111" s="183"/>
      <c r="BJ111" s="67"/>
      <c r="BK111" s="67"/>
      <c r="BL111" s="67"/>
      <c r="BM111" s="156"/>
      <c r="BN111" s="66">
        <f t="shared" si="82"/>
        <v>325387.3823529412</v>
      </c>
      <c r="BO111" s="67"/>
      <c r="BP111" s="67">
        <f t="shared" si="83"/>
        <v>2408433</v>
      </c>
      <c r="BQ111" s="67"/>
      <c r="BR111" s="478">
        <f t="shared" si="84"/>
        <v>7.2566084353211213E-2</v>
      </c>
      <c r="BS111" s="67"/>
      <c r="BT111" s="86"/>
      <c r="BU111" s="183"/>
      <c r="BV111" s="1"/>
      <c r="BW111">
        <f t="shared" si="53"/>
        <v>102</v>
      </c>
    </row>
    <row r="112" spans="2:75" x14ac:dyDescent="0.3">
      <c r="B112" s="171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16"/>
      <c r="O112" s="16">
        <f t="shared" si="71"/>
        <v>26484.009708737864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130200</v>
      </c>
      <c r="AB112" s="33"/>
      <c r="AC112" s="46">
        <f t="shared" si="73"/>
        <v>4.7729844680046908E-2</v>
      </c>
      <c r="AD112" s="33"/>
      <c r="AE112" s="33">
        <f t="shared" si="74"/>
        <v>1264.0776699029127</v>
      </c>
      <c r="AF112" s="50"/>
      <c r="AG112" s="33">
        <f>SUM(W82:W112)</f>
        <v>21890</v>
      </c>
      <c r="AH112" s="33"/>
      <c r="AI112" s="231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504">
        <f t="shared" si="76"/>
        <v>2.3413478795213293E-2</v>
      </c>
      <c r="AS112" s="25"/>
      <c r="AT112" s="25"/>
      <c r="AU112" s="24"/>
      <c r="AV112" s="341">
        <f t="shared" si="77"/>
        <v>0.41913328907386138</v>
      </c>
      <c r="AW112" s="341"/>
      <c r="AX112" s="24">
        <f t="shared" si="78"/>
        <v>11100.330097087379</v>
      </c>
      <c r="AY112" s="351"/>
      <c r="AZ112" s="10"/>
      <c r="BA112" s="66">
        <f t="shared" si="79"/>
        <v>1008514</v>
      </c>
      <c r="BB112" s="67"/>
      <c r="BC112" s="67">
        <v>34198027</v>
      </c>
      <c r="BD112" s="67"/>
      <c r="BE112" s="67">
        <f t="shared" si="80"/>
        <v>46042</v>
      </c>
      <c r="BF112" s="67"/>
      <c r="BG112" s="156">
        <f t="shared" si="81"/>
        <v>4.5653307737919355E-2</v>
      </c>
      <c r="BH112" s="67"/>
      <c r="BI112" s="183"/>
      <c r="BJ112" s="67"/>
      <c r="BK112" s="67"/>
      <c r="BL112" s="67"/>
      <c r="BM112" s="156"/>
      <c r="BN112" s="66">
        <f t="shared" si="82"/>
        <v>332019.67961165047</v>
      </c>
      <c r="BO112" s="67"/>
      <c r="BP112" s="67">
        <f t="shared" si="83"/>
        <v>2454475</v>
      </c>
      <c r="BQ112" s="67"/>
      <c r="BR112" s="478">
        <f t="shared" si="84"/>
        <v>7.1772415408643306E-2</v>
      </c>
      <c r="BS112" s="67"/>
      <c r="BT112" s="86"/>
      <c r="BU112" s="183"/>
      <c r="BV112" s="1"/>
      <c r="BW112">
        <f t="shared" si="53"/>
        <v>103</v>
      </c>
    </row>
    <row r="113" spans="1:75" x14ac:dyDescent="0.3">
      <c r="B113" s="171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/>
      <c r="O113" s="16">
        <f t="shared" si="71"/>
        <v>26720.673076923078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130876</v>
      </c>
      <c r="AB113" s="33"/>
      <c r="AC113" s="46">
        <f t="shared" si="73"/>
        <v>4.7095485705032476E-2</v>
      </c>
      <c r="AD113" s="33"/>
      <c r="AE113" s="33">
        <f t="shared" si="74"/>
        <v>1258.4230769230769</v>
      </c>
      <c r="AF113" s="50"/>
      <c r="AG113" s="33"/>
      <c r="AH113" s="33">
        <f>SUM(D83:D112)</f>
        <v>869627</v>
      </c>
      <c r="AI113" s="231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504">
        <f t="shared" si="76"/>
        <v>1.8337598636968724E-2</v>
      </c>
      <c r="AS113" s="25"/>
      <c r="AT113" s="25"/>
      <c r="AU113" s="24"/>
      <c r="AV113" s="341">
        <f t="shared" si="77"/>
        <v>0.41897119415606615</v>
      </c>
      <c r="AW113" s="341"/>
      <c r="AX113" s="24">
        <f t="shared" si="78"/>
        <v>11195.192307692309</v>
      </c>
      <c r="AY113" s="351"/>
      <c r="AZ113" s="10"/>
      <c r="BA113" s="66">
        <f t="shared" si="79"/>
        <v>657615</v>
      </c>
      <c r="BB113" s="67"/>
      <c r="BC113" s="67">
        <v>34855642</v>
      </c>
      <c r="BD113" s="67"/>
      <c r="BE113" s="67">
        <f t="shared" si="80"/>
        <v>51097</v>
      </c>
      <c r="BF113" s="67"/>
      <c r="BG113" s="156">
        <f t="shared" si="81"/>
        <v>7.7700478243349066E-2</v>
      </c>
      <c r="BH113" s="67"/>
      <c r="BI113" s="183"/>
      <c r="BJ113" s="67"/>
      <c r="BK113" s="67"/>
      <c r="BL113" s="67"/>
      <c r="BM113" s="156"/>
      <c r="BN113" s="66">
        <f t="shared" si="82"/>
        <v>335150.40384615387</v>
      </c>
      <c r="BO113" s="67"/>
      <c r="BP113" s="67">
        <f t="shared" si="83"/>
        <v>2505572</v>
      </c>
      <c r="BQ113" s="67"/>
      <c r="BR113" s="478">
        <f t="shared" si="84"/>
        <v>7.1884259082073423E-2</v>
      </c>
      <c r="BS113" s="67"/>
      <c r="BT113" s="86"/>
      <c r="BU113" s="183"/>
      <c r="BV113" s="1"/>
      <c r="BW113">
        <f t="shared" si="53"/>
        <v>104</v>
      </c>
    </row>
    <row r="114" spans="1:75" x14ac:dyDescent="0.3">
      <c r="B114" s="171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</f>
        <v>2849050</v>
      </c>
      <c r="I114" s="505" t="s">
        <v>150</v>
      </c>
      <c r="J114" s="38">
        <f t="shared" si="70"/>
        <v>2.1545907626981414E-2</v>
      </c>
      <c r="K114" s="16"/>
      <c r="L114" s="16"/>
      <c r="M114" s="16"/>
      <c r="N114" s="16"/>
      <c r="O114" s="16">
        <f t="shared" si="71"/>
        <v>27133.809523809523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534" t="s">
        <v>150</v>
      </c>
      <c r="AA114" s="33">
        <f>+AA113+W114+670+642-57</f>
        <v>132684</v>
      </c>
      <c r="AB114" s="33"/>
      <c r="AC114" s="46">
        <f t="shared" si="73"/>
        <v>4.6571313244765801E-2</v>
      </c>
      <c r="AD114" s="33"/>
      <c r="AE114" s="33">
        <f t="shared" si="74"/>
        <v>1263.6571428571428</v>
      </c>
      <c r="AF114" s="50"/>
      <c r="AG114" s="33"/>
      <c r="AH114" s="33">
        <f>SUM(W83:W112)</f>
        <v>21252</v>
      </c>
      <c r="AI114" s="231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504">
        <f t="shared" si="76"/>
        <v>1.7932663402903032E-2</v>
      </c>
      <c r="AS114" s="25"/>
      <c r="AT114" s="25"/>
      <c r="AU114" s="24"/>
      <c r="AV114" s="341">
        <f t="shared" si="77"/>
        <v>0.41599094434987099</v>
      </c>
      <c r="AW114" s="341"/>
      <c r="AX114" s="24">
        <f t="shared" si="78"/>
        <v>11287.419047619047</v>
      </c>
      <c r="AY114" s="351"/>
      <c r="AZ114" s="10"/>
      <c r="BA114" s="66">
        <f t="shared" si="79"/>
        <v>682358</v>
      </c>
      <c r="BB114" s="67"/>
      <c r="BC114" s="67">
        <v>35538000</v>
      </c>
      <c r="BD114" s="67"/>
      <c r="BE114" s="67">
        <f t="shared" si="80"/>
        <v>59875</v>
      </c>
      <c r="BF114" s="67"/>
      <c r="BG114" s="156">
        <f t="shared" si="81"/>
        <v>8.7747194288042341E-2</v>
      </c>
      <c r="BH114" s="67"/>
      <c r="BI114" s="183"/>
      <c r="BJ114" s="67"/>
      <c r="BK114" s="67"/>
      <c r="BL114" s="67"/>
      <c r="BM114" s="156"/>
      <c r="BN114" s="66">
        <f t="shared" si="82"/>
        <v>338457.14285714284</v>
      </c>
      <c r="BO114" s="67"/>
      <c r="BP114" s="67">
        <f t="shared" si="83"/>
        <v>2565447</v>
      </c>
      <c r="BQ114" s="67"/>
      <c r="BR114" s="478">
        <f t="shared" si="84"/>
        <v>7.2188840114806682E-2</v>
      </c>
      <c r="BS114" s="67"/>
      <c r="BT114" s="86"/>
      <c r="BU114" s="183"/>
      <c r="BV114" s="1"/>
      <c r="BW114">
        <f t="shared" si="53"/>
        <v>105</v>
      </c>
    </row>
    <row r="115" spans="1:75" x14ac:dyDescent="0.3">
      <c r="B115" s="171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2907141</v>
      </c>
      <c r="I115" s="505" t="s">
        <v>150</v>
      </c>
      <c r="J115" s="38">
        <f t="shared" si="70"/>
        <v>2.0389603552061212E-2</v>
      </c>
      <c r="K115" s="16"/>
      <c r="L115" s="16"/>
      <c r="M115" s="16"/>
      <c r="N115" s="16"/>
      <c r="O115" s="16">
        <f t="shared" si="71"/>
        <v>27425.858490566039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133300</v>
      </c>
      <c r="AB115" s="33"/>
      <c r="AC115" s="46">
        <f t="shared" si="73"/>
        <v>4.5852609144172919E-2</v>
      </c>
      <c r="AD115" s="33"/>
      <c r="AE115" s="33">
        <f t="shared" si="74"/>
        <v>1257.5471698113208</v>
      </c>
      <c r="AF115" s="50"/>
      <c r="AG115" s="33"/>
      <c r="AH115" s="231">
        <f>+AH114/AH113</f>
        <v>2.4438063675575852E-2</v>
      </c>
      <c r="AI115" s="231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504">
        <f t="shared" si="76"/>
        <v>4.2448440277797699E-2</v>
      </c>
      <c r="AS115" s="25"/>
      <c r="AT115" s="25"/>
      <c r="AU115" s="24"/>
      <c r="AV115" s="341">
        <f t="shared" si="77"/>
        <v>0.42498385871204736</v>
      </c>
      <c r="AW115" s="341"/>
      <c r="AX115" s="24">
        <f t="shared" si="78"/>
        <v>11655.547169811322</v>
      </c>
      <c r="AY115" s="351"/>
      <c r="AZ115" s="10"/>
      <c r="BA115" s="66">
        <f t="shared" si="79"/>
        <v>759195</v>
      </c>
      <c r="BB115" s="67"/>
      <c r="BC115" s="67">
        <v>36297195</v>
      </c>
      <c r="BD115" s="67"/>
      <c r="BE115" s="67">
        <f t="shared" si="80"/>
        <v>58091</v>
      </c>
      <c r="BF115" s="67"/>
      <c r="BG115" s="156">
        <f t="shared" si="81"/>
        <v>7.6516573475852709E-2</v>
      </c>
      <c r="BH115" s="67"/>
      <c r="BI115" s="183"/>
      <c r="BJ115" s="67"/>
      <c r="BK115" s="67"/>
      <c r="BL115" s="67"/>
      <c r="BM115" s="156"/>
      <c r="BN115" s="66">
        <f t="shared" si="82"/>
        <v>342426.36792452831</v>
      </c>
      <c r="BO115" s="67"/>
      <c r="BP115" s="67">
        <f t="shared" si="83"/>
        <v>2623538</v>
      </c>
      <c r="BQ115" s="67"/>
      <c r="BR115" s="478">
        <f t="shared" si="84"/>
        <v>7.2279359327903983E-2</v>
      </c>
      <c r="BS115" s="67"/>
      <c r="BT115" s="86"/>
      <c r="BU115" s="183"/>
      <c r="BV115" s="1"/>
      <c r="BW115">
        <f t="shared" si="53"/>
        <v>106</v>
      </c>
    </row>
    <row r="116" spans="1:75" x14ac:dyDescent="0.3">
      <c r="B116" s="171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</f>
        <v>2956644</v>
      </c>
      <c r="I116" s="505" t="s">
        <v>150</v>
      </c>
      <c r="J116" s="38">
        <f t="shared" si="70"/>
        <v>1.6023990580436243E-2</v>
      </c>
      <c r="K116" s="16"/>
      <c r="L116" s="16"/>
      <c r="M116" s="16"/>
      <c r="N116" s="16"/>
      <c r="O116" s="16">
        <f t="shared" si="71"/>
        <v>27632.186915887851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133554</v>
      </c>
      <c r="AB116" s="33"/>
      <c r="AC116" s="46">
        <f t="shared" si="73"/>
        <v>4.5170808524800418E-2</v>
      </c>
      <c r="AD116" s="33"/>
      <c r="AE116" s="33">
        <f t="shared" si="74"/>
        <v>1248.1682242990655</v>
      </c>
      <c r="AF116" s="50"/>
      <c r="AG116" s="33"/>
      <c r="AH116" s="33"/>
      <c r="AI116" s="231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504">
        <f t="shared" si="76"/>
        <v>2.0167739387189517E-2</v>
      </c>
      <c r="AS116" s="25"/>
      <c r="AT116" s="25"/>
      <c r="AU116" s="24"/>
      <c r="AV116" s="341">
        <f t="shared" si="77"/>
        <v>0.42629582729608301</v>
      </c>
      <c r="AW116" s="341"/>
      <c r="AX116" s="24">
        <f t="shared" si="78"/>
        <v>11779.485981308411</v>
      </c>
      <c r="AY116" s="351"/>
      <c r="AZ116" s="10"/>
      <c r="BA116" s="66">
        <f t="shared" si="79"/>
        <v>656438</v>
      </c>
      <c r="BB116" s="67"/>
      <c r="BC116" s="67">
        <v>36953633</v>
      </c>
      <c r="BD116" s="67"/>
      <c r="BE116" s="67">
        <f t="shared" si="80"/>
        <v>46584</v>
      </c>
      <c r="BF116" s="67"/>
      <c r="BG116" s="156">
        <f t="shared" si="81"/>
        <v>7.0964813127820145E-2</v>
      </c>
      <c r="BH116" s="67"/>
      <c r="BI116" s="183"/>
      <c r="BJ116" s="67"/>
      <c r="BK116" s="67"/>
      <c r="BL116" s="67"/>
      <c r="BM116" s="156"/>
      <c r="BN116" s="66">
        <f t="shared" si="82"/>
        <v>345361.05607476638</v>
      </c>
      <c r="BO116" s="67"/>
      <c r="BP116" s="67">
        <f t="shared" si="83"/>
        <v>2670122</v>
      </c>
      <c r="BQ116" s="67"/>
      <c r="BR116" s="478">
        <f t="shared" si="84"/>
        <v>7.2256007954617077E-2</v>
      </c>
      <c r="BS116" s="67"/>
      <c r="BT116" s="86"/>
      <c r="BU116" s="183"/>
      <c r="BV116" s="1"/>
      <c r="BW116">
        <f t="shared" si="53"/>
        <v>107</v>
      </c>
    </row>
    <row r="117" spans="1:75" x14ac:dyDescent="0.3">
      <c r="B117" s="390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3001174</v>
      </c>
      <c r="I117" s="16"/>
      <c r="J117" s="38">
        <f t="shared" si="70"/>
        <v>1.5060994830625533E-2</v>
      </c>
      <c r="K117" s="16"/>
      <c r="L117" s="16"/>
      <c r="M117" s="16"/>
      <c r="N117" s="16">
        <f>SUM(D111:D117)</f>
        <v>350953</v>
      </c>
      <c r="O117" s="16">
        <f t="shared" si="71"/>
        <v>27788.64814814815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91">
        <f t="shared" si="85"/>
        <v>9</v>
      </c>
      <c r="W117" s="34">
        <v>251</v>
      </c>
      <c r="X117" s="33"/>
      <c r="Y117" s="33"/>
      <c r="Z117" s="33"/>
      <c r="AA117" s="33">
        <f t="shared" si="72"/>
        <v>133805</v>
      </c>
      <c r="AB117" s="33"/>
      <c r="AC117" s="46">
        <f t="shared" si="73"/>
        <v>4.4584219375484395E-2</v>
      </c>
      <c r="AD117" s="33"/>
      <c r="AE117" s="33">
        <f t="shared" si="74"/>
        <v>1238.9351851851852</v>
      </c>
      <c r="AF117" s="50"/>
      <c r="AG117" s="33">
        <f>SUM(W111:W117)</f>
        <v>3460</v>
      </c>
      <c r="AH117" s="33"/>
      <c r="AI117" s="231">
        <f>+(AG117-AG110)/AG110</f>
        <v>-0.16946711473835813</v>
      </c>
      <c r="AJ117" s="50"/>
      <c r="AK117" s="391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504">
        <f t="shared" si="76"/>
        <v>1.9957077288649282E-2</v>
      </c>
      <c r="AS117" s="25"/>
      <c r="AT117" s="25"/>
      <c r="AU117" s="24"/>
      <c r="AV117" s="341">
        <f t="shared" si="77"/>
        <v>0.42835203823570378</v>
      </c>
      <c r="AW117" s="341"/>
      <c r="AX117" s="24">
        <f t="shared" si="78"/>
        <v>11903.324074074075</v>
      </c>
      <c r="AY117" s="351"/>
      <c r="AZ117" s="391"/>
      <c r="BA117" s="66">
        <f t="shared" si="79"/>
        <v>633176</v>
      </c>
      <c r="BB117" s="67"/>
      <c r="BC117" s="67">
        <v>37586809</v>
      </c>
      <c r="BD117" s="67"/>
      <c r="BE117" s="67">
        <f t="shared" si="80"/>
        <v>44530</v>
      </c>
      <c r="BF117" s="67"/>
      <c r="BG117" s="156">
        <f t="shared" si="81"/>
        <v>7.0327997270900985E-2</v>
      </c>
      <c r="BH117" s="67"/>
      <c r="BI117" s="183"/>
      <c r="BJ117" s="67"/>
      <c r="BK117" s="67">
        <f>SUM(BA111:BA117)</f>
        <v>4994441</v>
      </c>
      <c r="BL117" s="67"/>
      <c r="BM117" s="156">
        <f>+Q117/BK117</f>
        <v>7.0268724768197288E-2</v>
      </c>
      <c r="BN117" s="66">
        <f t="shared" si="82"/>
        <v>348026.00925925927</v>
      </c>
      <c r="BO117" s="67"/>
      <c r="BP117" s="67">
        <f t="shared" si="83"/>
        <v>2714652</v>
      </c>
      <c r="BQ117" s="67"/>
      <c r="BR117" s="478">
        <f t="shared" si="84"/>
        <v>7.2223529270601286E-2</v>
      </c>
      <c r="BS117" s="67"/>
      <c r="BT117" s="86"/>
      <c r="BU117" s="183"/>
      <c r="BV117" s="1"/>
      <c r="BW117" s="472">
        <f t="shared" si="53"/>
        <v>108</v>
      </c>
    </row>
    <row r="118" spans="1:75" x14ac:dyDescent="0.3">
      <c r="B118" s="171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3054786</v>
      </c>
      <c r="I118" s="16"/>
      <c r="J118" s="38">
        <f t="shared" si="70"/>
        <v>1.7863676014786212E-2</v>
      </c>
      <c r="K118" s="16"/>
      <c r="L118" s="16"/>
      <c r="M118" s="16"/>
      <c r="N118" s="16"/>
      <c r="O118" s="16">
        <f t="shared" si="71"/>
        <v>28025.559633027522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134183</v>
      </c>
      <c r="AB118" s="33"/>
      <c r="AC118" s="46">
        <f t="shared" si="73"/>
        <v>4.3925499200271313E-2</v>
      </c>
      <c r="AD118" s="33"/>
      <c r="AE118" s="33">
        <f t="shared" si="74"/>
        <v>1231.0366972477063</v>
      </c>
      <c r="AF118" s="50"/>
      <c r="AG118" s="33"/>
      <c r="AH118" s="33"/>
      <c r="AI118" s="231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504">
        <f t="shared" si="76"/>
        <v>3.0638811598689752E-2</v>
      </c>
      <c r="AS118" s="25"/>
      <c r="AT118" s="25"/>
      <c r="AU118" s="24"/>
      <c r="AV118" s="341">
        <f t="shared" si="77"/>
        <v>0.43372825461423486</v>
      </c>
      <c r="AW118" s="341"/>
      <c r="AX118" s="24">
        <f t="shared" si="78"/>
        <v>12155.477064220184</v>
      </c>
      <c r="AY118" s="351"/>
      <c r="AZ118" s="10"/>
      <c r="BA118" s="66">
        <f t="shared" si="79"/>
        <v>630831</v>
      </c>
      <c r="BB118" s="67"/>
      <c r="BC118" s="67">
        <v>38217640</v>
      </c>
      <c r="BD118" s="67"/>
      <c r="BE118" s="67">
        <f t="shared" si="80"/>
        <v>53612</v>
      </c>
      <c r="BF118" s="67"/>
      <c r="BG118" s="156">
        <f t="shared" si="81"/>
        <v>8.4986311706304857E-2</v>
      </c>
      <c r="BH118" s="67"/>
      <c r="BI118" s="183"/>
      <c r="BJ118" s="67"/>
      <c r="BK118" s="67"/>
      <c r="BL118" s="67"/>
      <c r="BM118" s="156"/>
      <c r="BN118" s="66">
        <f t="shared" si="82"/>
        <v>350620.55045871559</v>
      </c>
      <c r="BO118" s="67"/>
      <c r="BP118" s="67">
        <f t="shared" si="83"/>
        <v>2768264</v>
      </c>
      <c r="BQ118" s="67"/>
      <c r="BR118" s="478">
        <f t="shared" si="84"/>
        <v>7.2434195308763175E-2</v>
      </c>
      <c r="BS118" s="67"/>
      <c r="BT118" s="86"/>
      <c r="BU118" s="183"/>
      <c r="BV118" s="1"/>
      <c r="BW118">
        <f t="shared" si="53"/>
        <v>109</v>
      </c>
    </row>
    <row r="119" spans="1:75" x14ac:dyDescent="0.3">
      <c r="B119" s="171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3110228</v>
      </c>
      <c r="I119" s="16"/>
      <c r="J119" s="38">
        <f t="shared" si="70"/>
        <v>1.8149225510395817E-2</v>
      </c>
      <c r="K119" s="16"/>
      <c r="L119" s="16"/>
      <c r="M119" s="16"/>
      <c r="N119" s="16"/>
      <c r="O119" s="16">
        <f t="shared" si="71"/>
        <v>28274.799999999999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135176</v>
      </c>
      <c r="AB119" s="33"/>
      <c r="AC119" s="46">
        <f t="shared" si="73"/>
        <v>4.3461765504008064E-2</v>
      </c>
      <c r="AD119" s="33"/>
      <c r="AE119" s="33">
        <f t="shared" si="74"/>
        <v>1228.8727272727272</v>
      </c>
      <c r="AF119" s="50"/>
      <c r="AG119" s="33"/>
      <c r="AH119" s="33"/>
      <c r="AI119" s="231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504">
        <f t="shared" si="76"/>
        <v>2.2579016368201896E-2</v>
      </c>
      <c r="AS119" s="25"/>
      <c r="AT119" s="25"/>
      <c r="AU119" s="24"/>
      <c r="AV119" s="341">
        <f t="shared" si="77"/>
        <v>0.43561533109469786</v>
      </c>
      <c r="AW119" s="341"/>
      <c r="AX119" s="24">
        <f t="shared" si="78"/>
        <v>12316.936363636363</v>
      </c>
      <c r="AY119" s="351"/>
      <c r="AZ119" s="10"/>
      <c r="BA119" s="66">
        <f t="shared" si="79"/>
        <v>583951</v>
      </c>
      <c r="BB119" s="67"/>
      <c r="BC119" s="67">
        <v>38801591</v>
      </c>
      <c r="BD119" s="67"/>
      <c r="BE119" s="67">
        <f t="shared" si="80"/>
        <v>55442</v>
      </c>
      <c r="BF119" s="67"/>
      <c r="BG119" s="156">
        <f t="shared" si="81"/>
        <v>9.4942897606134766E-2</v>
      </c>
      <c r="BH119" s="67"/>
      <c r="BI119" s="183"/>
      <c r="BJ119" s="67"/>
      <c r="BK119" s="67"/>
      <c r="BL119" s="67"/>
      <c r="BM119" s="156"/>
      <c r="BN119" s="66">
        <f t="shared" si="82"/>
        <v>352741.73636363639</v>
      </c>
      <c r="BO119" s="67"/>
      <c r="BP119" s="67">
        <f t="shared" si="83"/>
        <v>2823706</v>
      </c>
      <c r="BQ119" s="67"/>
      <c r="BR119" s="478">
        <f t="shared" si="84"/>
        <v>7.2772943769238735E-2</v>
      </c>
      <c r="BS119" s="67"/>
      <c r="BT119" s="86"/>
      <c r="BU119" s="183"/>
      <c r="BV119" s="1"/>
      <c r="BW119">
        <f t="shared" si="53"/>
        <v>110</v>
      </c>
    </row>
    <row r="120" spans="1:75" x14ac:dyDescent="0.3">
      <c r="B120" s="171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3172076</v>
      </c>
      <c r="I120" s="16"/>
      <c r="J120" s="38">
        <f t="shared" si="70"/>
        <v>1.9885358886872602E-2</v>
      </c>
      <c r="K120" s="16"/>
      <c r="L120" s="16"/>
      <c r="M120" s="16"/>
      <c r="N120" s="16"/>
      <c r="O120" s="16">
        <f t="shared" si="71"/>
        <v>28577.261261261261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136066</v>
      </c>
      <c r="AB120" s="33"/>
      <c r="AC120" s="46">
        <f t="shared" si="73"/>
        <v>4.2894936943503242E-2</v>
      </c>
      <c r="AD120" s="33"/>
      <c r="AE120" s="33">
        <f t="shared" si="74"/>
        <v>1225.8198198198197</v>
      </c>
      <c r="AF120" s="50"/>
      <c r="AG120" s="33"/>
      <c r="AH120" s="33"/>
      <c r="AI120" s="231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504">
        <f t="shared" si="76"/>
        <v>2.7911309113910411E-2</v>
      </c>
      <c r="AS120" s="25"/>
      <c r="AT120" s="25"/>
      <c r="AU120" s="24"/>
      <c r="AV120" s="341">
        <f t="shared" si="77"/>
        <v>0.43904338988094865</v>
      </c>
      <c r="AW120" s="341"/>
      <c r="AX120" s="24">
        <f t="shared" si="78"/>
        <v>12546.657657657657</v>
      </c>
      <c r="AY120" s="351"/>
      <c r="AZ120" s="10"/>
      <c r="BA120" s="66">
        <f t="shared" si="79"/>
        <v>677846</v>
      </c>
      <c r="BB120" s="67"/>
      <c r="BC120" s="67">
        <v>39479437</v>
      </c>
      <c r="BD120" s="67"/>
      <c r="BE120" s="67">
        <f t="shared" si="80"/>
        <v>61848</v>
      </c>
      <c r="BF120" s="67"/>
      <c r="BG120" s="156">
        <f t="shared" si="81"/>
        <v>9.1241963513836483E-2</v>
      </c>
      <c r="BH120" s="67"/>
      <c r="BI120" s="183"/>
      <c r="BJ120" s="67"/>
      <c r="BK120" s="67"/>
      <c r="BL120" s="67"/>
      <c r="BM120" s="156"/>
      <c r="BN120" s="66">
        <f t="shared" si="82"/>
        <v>355670.60360360361</v>
      </c>
      <c r="BO120" s="67"/>
      <c r="BP120" s="67">
        <f t="shared" si="83"/>
        <v>2885554</v>
      </c>
      <c r="BQ120" s="67"/>
      <c r="BR120" s="478">
        <f t="shared" si="84"/>
        <v>7.3090049384442843E-2</v>
      </c>
      <c r="BS120" s="67"/>
      <c r="BT120" s="86"/>
      <c r="BU120" s="183"/>
      <c r="BV120" s="1"/>
      <c r="BW120">
        <f t="shared" si="53"/>
        <v>111</v>
      </c>
    </row>
    <row r="121" spans="1:75" x14ac:dyDescent="0.3">
      <c r="B121" s="171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3233143</v>
      </c>
      <c r="I121" s="16"/>
      <c r="J121" s="38">
        <f t="shared" si="70"/>
        <v>1.9251430293599523E-2</v>
      </c>
      <c r="K121" s="16"/>
      <c r="L121" s="16"/>
      <c r="M121" s="16"/>
      <c r="N121" s="16"/>
      <c r="O121" s="16">
        <f t="shared" si="71"/>
        <v>28867.348214285714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137026</v>
      </c>
      <c r="AB121" s="33"/>
      <c r="AC121" s="46">
        <f t="shared" si="73"/>
        <v>4.2381670096249997E-2</v>
      </c>
      <c r="AD121" s="33"/>
      <c r="AE121" s="33">
        <f t="shared" si="74"/>
        <v>1223.4464285714287</v>
      </c>
      <c r="AF121" s="50"/>
      <c r="AG121" s="33"/>
      <c r="AH121" s="33"/>
      <c r="AI121" s="231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504">
        <f t="shared" si="76"/>
        <v>2.423315063988184E-2</v>
      </c>
      <c r="AS121" s="25"/>
      <c r="AT121" s="25"/>
      <c r="AU121" s="24"/>
      <c r="AV121" s="341">
        <f t="shared" si="77"/>
        <v>0.44118927000754377</v>
      </c>
      <c r="AW121" s="341"/>
      <c r="AX121" s="24">
        <f t="shared" si="78"/>
        <v>12735.964285714286</v>
      </c>
      <c r="AY121" s="351"/>
      <c r="AZ121" s="10"/>
      <c r="BA121" s="66">
        <f t="shared" si="79"/>
        <v>681700</v>
      </c>
      <c r="BB121" s="67"/>
      <c r="BC121" s="67">
        <v>40161137</v>
      </c>
      <c r="BD121" s="67"/>
      <c r="BE121" s="67">
        <f t="shared" si="80"/>
        <v>61067</v>
      </c>
      <c r="BF121" s="67"/>
      <c r="BG121" s="156">
        <f t="shared" si="81"/>
        <v>8.9580460613172944E-2</v>
      </c>
      <c r="BH121" s="67"/>
      <c r="BI121" s="183"/>
      <c r="BJ121" s="67"/>
      <c r="BK121" s="67"/>
      <c r="BL121" s="67"/>
      <c r="BM121" s="156"/>
      <c r="BN121" s="66">
        <f t="shared" si="82"/>
        <v>358581.58035714284</v>
      </c>
      <c r="BO121" s="67"/>
      <c r="BP121" s="67">
        <f t="shared" si="83"/>
        <v>2946621</v>
      </c>
      <c r="BQ121" s="67"/>
      <c r="BR121" s="478">
        <f t="shared" si="84"/>
        <v>7.336995962041612E-2</v>
      </c>
      <c r="BS121" s="67"/>
      <c r="BT121" s="86"/>
      <c r="BU121" s="183"/>
      <c r="BV121" s="1"/>
      <c r="BW121">
        <f t="shared" si="53"/>
        <v>112</v>
      </c>
    </row>
    <row r="122" spans="1:75" x14ac:dyDescent="0.3">
      <c r="B122" s="171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3304930</v>
      </c>
      <c r="I122" s="16"/>
      <c r="J122" s="38">
        <f t="shared" si="70"/>
        <v>2.2203471977577237E-2</v>
      </c>
      <c r="K122" s="16"/>
      <c r="L122" s="16"/>
      <c r="M122" s="16"/>
      <c r="N122" s="16"/>
      <c r="O122" s="16">
        <f t="shared" si="71"/>
        <v>29247.16814159292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137875</v>
      </c>
      <c r="AB122" s="33"/>
      <c r="AC122" s="46">
        <f t="shared" si="73"/>
        <v>4.1717978898191489E-2</v>
      </c>
      <c r="AD122" s="33"/>
      <c r="AE122" s="33">
        <f t="shared" si="74"/>
        <v>1220.1327433628319</v>
      </c>
      <c r="AF122" s="50"/>
      <c r="AG122" s="33"/>
      <c r="AH122" s="33"/>
      <c r="AI122" s="231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504">
        <f t="shared" si="76"/>
        <v>2.3882733653573823E-2</v>
      </c>
      <c r="AS122" s="25"/>
      <c r="AT122" s="25"/>
      <c r="AU122" s="24"/>
      <c r="AV122" s="341">
        <f t="shared" si="77"/>
        <v>0.4419140496167846</v>
      </c>
      <c r="AW122" s="341"/>
      <c r="AX122" s="24">
        <f t="shared" si="78"/>
        <v>12924.734513274336</v>
      </c>
      <c r="AY122" s="351"/>
      <c r="AZ122" s="10"/>
      <c r="BA122" s="66">
        <f t="shared" si="79"/>
        <v>849076</v>
      </c>
      <c r="BB122" s="67"/>
      <c r="BC122" s="67">
        <v>41010213</v>
      </c>
      <c r="BD122" s="67"/>
      <c r="BE122" s="67">
        <f t="shared" si="80"/>
        <v>71787</v>
      </c>
      <c r="BF122" s="67"/>
      <c r="BG122" s="156">
        <f t="shared" si="81"/>
        <v>8.4547201899476607E-2</v>
      </c>
      <c r="BH122" s="67"/>
      <c r="BI122" s="183"/>
      <c r="BJ122" s="67"/>
      <c r="BK122" s="67"/>
      <c r="BL122" s="67"/>
      <c r="BM122" s="156"/>
      <c r="BN122" s="66">
        <f t="shared" si="82"/>
        <v>362922.23893805308</v>
      </c>
      <c r="BO122" s="67"/>
      <c r="BP122" s="67">
        <f t="shared" si="83"/>
        <v>3018408</v>
      </c>
      <c r="BQ122" s="67"/>
      <c r="BR122" s="478">
        <f t="shared" si="84"/>
        <v>7.3601373394476158E-2</v>
      </c>
      <c r="BS122" s="67"/>
      <c r="BT122" s="86"/>
      <c r="BU122" s="183"/>
      <c r="BV122" s="1"/>
      <c r="BW122">
        <f t="shared" si="53"/>
        <v>113</v>
      </c>
    </row>
    <row r="123" spans="1:75" x14ac:dyDescent="0.3">
      <c r="B123" s="171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3366649</v>
      </c>
      <c r="I123" s="16"/>
      <c r="J123" s="38">
        <f t="shared" si="70"/>
        <v>1.867482821118753E-2</v>
      </c>
      <c r="K123" s="16"/>
      <c r="L123" s="16"/>
      <c r="M123" s="16"/>
      <c r="N123" s="16"/>
      <c r="O123" s="16">
        <f t="shared" si="71"/>
        <v>29532.008771929824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138606</v>
      </c>
      <c r="AB123" s="33"/>
      <c r="AC123" s="46">
        <f t="shared" si="73"/>
        <v>4.1170315052148292E-2</v>
      </c>
      <c r="AD123" s="33"/>
      <c r="AE123" s="33">
        <f t="shared" si="74"/>
        <v>1215.8421052631579</v>
      </c>
      <c r="AF123" s="50"/>
      <c r="AG123" s="33"/>
      <c r="AH123" s="33"/>
      <c r="AI123" s="231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504">
        <f t="shared" si="76"/>
        <v>2.0507430699865457E-2</v>
      </c>
      <c r="AS123" s="25"/>
      <c r="AT123" s="25"/>
      <c r="AU123" s="24"/>
      <c r="AV123" s="341">
        <f t="shared" si="77"/>
        <v>0.44270905579999581</v>
      </c>
      <c r="AW123" s="341"/>
      <c r="AX123" s="24">
        <f t="shared" si="78"/>
        <v>13074.087719298246</v>
      </c>
      <c r="AY123" s="351"/>
      <c r="AZ123" s="10"/>
      <c r="BA123" s="66">
        <f t="shared" si="79"/>
        <v>760123</v>
      </c>
      <c r="BB123" s="67"/>
      <c r="BC123" s="67">
        <v>41770336</v>
      </c>
      <c r="BD123" s="67"/>
      <c r="BE123" s="67">
        <f t="shared" si="80"/>
        <v>61719</v>
      </c>
      <c r="BF123" s="67"/>
      <c r="BG123" s="156">
        <f t="shared" si="81"/>
        <v>8.1196069583475305E-2</v>
      </c>
      <c r="BH123" s="67"/>
      <c r="BI123" s="183"/>
      <c r="BJ123" s="67"/>
      <c r="BK123" s="67"/>
      <c r="BL123" s="67"/>
      <c r="BM123" s="156"/>
      <c r="BN123" s="66">
        <f t="shared" si="82"/>
        <v>366406.4561403509</v>
      </c>
      <c r="BO123" s="67"/>
      <c r="BP123" s="67">
        <f t="shared" si="83"/>
        <v>3080127</v>
      </c>
      <c r="BQ123" s="67"/>
      <c r="BR123" s="478">
        <f t="shared" si="84"/>
        <v>7.3739579207598424E-2</v>
      </c>
      <c r="BS123" s="67"/>
      <c r="BT123" s="86"/>
      <c r="BU123" s="183"/>
      <c r="BV123" s="1"/>
      <c r="BW123">
        <f t="shared" si="53"/>
        <v>114</v>
      </c>
    </row>
    <row r="124" spans="1:75" x14ac:dyDescent="0.3">
      <c r="A124" s="548"/>
      <c r="B124" s="390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3424998</v>
      </c>
      <c r="I124" s="16"/>
      <c r="J124" s="38">
        <f t="shared" si="70"/>
        <v>1.7331477085968865E-2</v>
      </c>
      <c r="K124" s="16"/>
      <c r="L124" s="16"/>
      <c r="M124" s="16"/>
      <c r="N124" s="16">
        <f>SUM(D118:D124)</f>
        <v>423824</v>
      </c>
      <c r="O124" s="16">
        <f t="shared" si="71"/>
        <v>29782.591304347825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138986</v>
      </c>
      <c r="AB124" s="33"/>
      <c r="AC124" s="46">
        <f t="shared" si="73"/>
        <v>4.0579877710877496E-2</v>
      </c>
      <c r="AD124" s="33"/>
      <c r="AE124" s="33">
        <f t="shared" si="74"/>
        <v>1208.5739130434783</v>
      </c>
      <c r="AF124" s="50"/>
      <c r="AG124" s="33">
        <f>SUM(W118:W124)</f>
        <v>5181</v>
      </c>
      <c r="AH124" s="33">
        <f>SUM(D95:D125)</f>
        <v>1356158</v>
      </c>
      <c r="AI124" s="231">
        <f>+(AG124-AG117)/AG117</f>
        <v>0.49739884393063583</v>
      </c>
      <c r="AJ124" s="50"/>
      <c r="AK124" s="391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504">
        <f t="shared" si="76"/>
        <v>1.7872502593183518E-2</v>
      </c>
      <c r="AS124" s="25"/>
      <c r="AT124" s="25"/>
      <c r="AU124" s="24"/>
      <c r="AV124" s="341">
        <f t="shared" si="77"/>
        <v>0.44294449223036042</v>
      </c>
      <c r="AW124" s="341"/>
      <c r="AX124" s="24">
        <f t="shared" si="78"/>
        <v>13192.034782608696</v>
      </c>
      <c r="AY124" s="351"/>
      <c r="AZ124" s="391"/>
      <c r="BA124" s="66">
        <f t="shared" si="79"/>
        <v>699271</v>
      </c>
      <c r="BB124" s="67"/>
      <c r="BC124" s="67">
        <v>42469607</v>
      </c>
      <c r="BD124" s="67"/>
      <c r="BE124" s="67">
        <f t="shared" si="80"/>
        <v>58349</v>
      </c>
      <c r="BF124" s="67"/>
      <c r="BG124" s="156">
        <f t="shared" si="81"/>
        <v>8.3442613807808416E-2</v>
      </c>
      <c r="BH124" s="67"/>
      <c r="BI124" s="183"/>
      <c r="BJ124" s="67"/>
      <c r="BK124" s="67">
        <f>SUM(BA118:BA124)</f>
        <v>4882798</v>
      </c>
      <c r="BL124" s="67"/>
      <c r="BM124" s="156">
        <f>+Q124/BK124</f>
        <v>8.679941295953672E-2</v>
      </c>
      <c r="BN124" s="66">
        <f t="shared" si="82"/>
        <v>369300.93043478258</v>
      </c>
      <c r="BO124" s="67"/>
      <c r="BP124" s="67">
        <f t="shared" si="83"/>
        <v>3138476</v>
      </c>
      <c r="BQ124" s="67"/>
      <c r="BR124" s="478">
        <f t="shared" si="84"/>
        <v>7.3899341710414221E-2</v>
      </c>
      <c r="BS124" s="67"/>
      <c r="BT124" s="86"/>
      <c r="BU124" s="183"/>
      <c r="BV124" s="1"/>
      <c r="BW124" s="472">
        <f t="shared" si="53"/>
        <v>115</v>
      </c>
    </row>
    <row r="125" spans="1:75" x14ac:dyDescent="0.3">
      <c r="B125" s="171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3490486</v>
      </c>
      <c r="I125" s="16"/>
      <c r="J125" s="38">
        <f t="shared" si="70"/>
        <v>1.9120595106916851E-2</v>
      </c>
      <c r="K125" s="16"/>
      <c r="L125" s="16"/>
      <c r="M125" s="16"/>
      <c r="N125" s="16"/>
      <c r="O125" s="16">
        <f t="shared" si="71"/>
        <v>30090.396551724138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536">
        <f t="shared" si="85"/>
        <v>17</v>
      </c>
      <c r="W125" s="34">
        <v>465</v>
      </c>
      <c r="X125" s="33"/>
      <c r="Y125" s="33"/>
      <c r="Z125" s="33"/>
      <c r="AA125" s="33">
        <f t="shared" si="72"/>
        <v>139451</v>
      </c>
      <c r="AB125" s="33"/>
      <c r="AC125" s="46">
        <f t="shared" si="73"/>
        <v>3.9951743109698762E-2</v>
      </c>
      <c r="AD125" s="33"/>
      <c r="AE125" s="33">
        <f t="shared" si="74"/>
        <v>1202.1637931034484</v>
      </c>
      <c r="AF125" s="50"/>
      <c r="AG125" s="33"/>
      <c r="AH125" s="33"/>
      <c r="AI125" s="231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504">
        <f t="shared" si="76"/>
        <v>2.1346873343862306E-2</v>
      </c>
      <c r="AS125" s="25"/>
      <c r="AT125" s="25"/>
      <c r="AU125" s="24"/>
      <c r="AV125" s="341">
        <f t="shared" si="77"/>
        <v>0.44391210851440172</v>
      </c>
      <c r="AW125" s="341"/>
      <c r="AX125" s="24">
        <f t="shared" si="78"/>
        <v>13357.491379310344</v>
      </c>
      <c r="AY125" s="351"/>
      <c r="AZ125" s="10"/>
      <c r="BA125" s="66">
        <f t="shared" si="79"/>
        <v>783226</v>
      </c>
      <c r="BB125" s="67"/>
      <c r="BC125" s="67">
        <v>43252833</v>
      </c>
      <c r="BD125" s="67"/>
      <c r="BE125" s="67">
        <f t="shared" si="80"/>
        <v>65488</v>
      </c>
      <c r="BF125" s="67"/>
      <c r="BG125" s="156">
        <f t="shared" si="81"/>
        <v>8.3613158909433549E-2</v>
      </c>
      <c r="BH125" s="67"/>
      <c r="BI125" s="183"/>
      <c r="BJ125" s="67"/>
      <c r="BK125" s="67"/>
      <c r="BL125" s="67"/>
      <c r="BM125" s="156"/>
      <c r="BN125" s="66">
        <f t="shared" si="82"/>
        <v>372869.25</v>
      </c>
      <c r="BO125" s="67"/>
      <c r="BP125" s="67">
        <f t="shared" si="83"/>
        <v>3203964</v>
      </c>
      <c r="BQ125" s="67"/>
      <c r="BR125" s="478">
        <f t="shared" si="84"/>
        <v>7.4075240343216359E-2</v>
      </c>
      <c r="BS125" s="67"/>
      <c r="BT125" s="86"/>
      <c r="BU125" s="183"/>
      <c r="BV125" s="1"/>
      <c r="BW125">
        <f t="shared" si="53"/>
        <v>116</v>
      </c>
    </row>
    <row r="126" spans="1:75" x14ac:dyDescent="0.3">
      <c r="B126" s="171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3556534</v>
      </c>
      <c r="I126" s="16"/>
      <c r="J126" s="38">
        <f t="shared" si="70"/>
        <v>1.8922293342531669E-2</v>
      </c>
      <c r="K126" s="16"/>
      <c r="L126" s="16"/>
      <c r="M126" s="16"/>
      <c r="N126" s="16"/>
      <c r="O126" s="16">
        <f t="shared" si="71"/>
        <v>30397.726495726496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140387</v>
      </c>
      <c r="AB126" s="33"/>
      <c r="AC126" s="46">
        <f t="shared" si="73"/>
        <v>3.9472981278964293E-2</v>
      </c>
      <c r="AD126" s="33"/>
      <c r="AE126" s="33">
        <f t="shared" si="74"/>
        <v>1199.8888888888889</v>
      </c>
      <c r="AF126" s="50"/>
      <c r="AG126" s="33"/>
      <c r="AH126" s="33"/>
      <c r="AI126" s="231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504">
        <f t="shared" si="76"/>
        <v>3.2737666903952259E-2</v>
      </c>
      <c r="AS126" s="25"/>
      <c r="AT126" s="25"/>
      <c r="AU126" s="24"/>
      <c r="AV126" s="341">
        <f t="shared" si="77"/>
        <v>0.44993102835513454</v>
      </c>
      <c r="AW126" s="341"/>
      <c r="AX126" s="24">
        <f t="shared" si="78"/>
        <v>13676.880341880342</v>
      </c>
      <c r="AY126" s="351"/>
      <c r="AZ126" s="10"/>
      <c r="BA126" s="66">
        <f t="shared" si="79"/>
        <v>778044</v>
      </c>
      <c r="BB126" s="67"/>
      <c r="BC126" s="67">
        <v>44030877</v>
      </c>
      <c r="BD126" s="67"/>
      <c r="BE126" s="67">
        <f t="shared" si="80"/>
        <v>66048</v>
      </c>
      <c r="BF126" s="67"/>
      <c r="BG126" s="156">
        <f t="shared" si="81"/>
        <v>8.4889800576831126E-2</v>
      </c>
      <c r="BH126" s="67"/>
      <c r="BI126" s="183"/>
      <c r="BJ126" s="67"/>
      <c r="BK126" s="67"/>
      <c r="BL126" s="67"/>
      <c r="BM126" s="156"/>
      <c r="BN126" s="66">
        <f t="shared" si="82"/>
        <v>376332.28205128206</v>
      </c>
      <c r="BO126" s="67"/>
      <c r="BP126" s="67">
        <f t="shared" si="83"/>
        <v>3270012</v>
      </c>
      <c r="BQ126" s="67"/>
      <c r="BR126" s="478">
        <f t="shared" si="84"/>
        <v>7.4266338142662938E-2</v>
      </c>
      <c r="BS126" s="67"/>
      <c r="BT126" s="86"/>
      <c r="BU126" s="183"/>
      <c r="BV126" s="1"/>
      <c r="BW126">
        <f t="shared" si="53"/>
        <v>117</v>
      </c>
    </row>
    <row r="127" spans="1:75" x14ac:dyDescent="0.3">
      <c r="B127" s="171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3628539</v>
      </c>
      <c r="I127" s="16"/>
      <c r="J127" s="38">
        <f t="shared" ref="J127:J164" si="90">+D127/H126</f>
        <v>2.0245834849322401E-2</v>
      </c>
      <c r="K127" s="16"/>
      <c r="L127" s="16"/>
      <c r="M127" s="16"/>
      <c r="N127" s="16"/>
      <c r="O127" s="16">
        <f t="shared" ref="O127:O150" si="91">+H127/BW127</f>
        <v>30750.330508474577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141389</v>
      </c>
      <c r="AB127" s="33"/>
      <c r="AC127" s="46">
        <f t="shared" ref="AC127:AC164" si="94">+AA127/H127</f>
        <v>3.8965820678791105E-2</v>
      </c>
      <c r="AD127" s="33"/>
      <c r="AE127" s="33">
        <f t="shared" ref="AE127:AE164" si="95">+AA127/BW127</f>
        <v>1198.2118644067796</v>
      </c>
      <c r="AF127" s="50"/>
      <c r="AG127" s="33"/>
      <c r="AH127" s="33"/>
      <c r="AI127" s="231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504">
        <f t="shared" ref="AR127:AR164" si="97">+AL127/AP126</f>
        <v>2.8600889266620629E-2</v>
      </c>
      <c r="AS127" s="25"/>
      <c r="AT127" s="25"/>
      <c r="AU127" s="24"/>
      <c r="AV127" s="341">
        <f t="shared" ref="AV127:AV164" si="98">+AP127/H127</f>
        <v>0.45361562876959571</v>
      </c>
      <c r="AW127" s="341"/>
      <c r="AX127" s="24">
        <f t="shared" ref="AX127:AX164" si="99">+AP127/BW127</f>
        <v>13948.830508474577</v>
      </c>
      <c r="AY127" s="351"/>
      <c r="AZ127" s="10"/>
      <c r="BA127" s="66">
        <f t="shared" ref="BA127:BA164" si="100">+BC127-BC126</f>
        <v>815289</v>
      </c>
      <c r="BB127" s="67"/>
      <c r="BC127" s="67">
        <v>44846166</v>
      </c>
      <c r="BD127" s="67"/>
      <c r="BE127" s="67">
        <f t="shared" ref="BE127:BE164" si="101">+D127</f>
        <v>72005</v>
      </c>
      <c r="BF127" s="67"/>
      <c r="BG127" s="156">
        <f t="shared" ref="BG127:BG164" si="102">+BE127/BA127</f>
        <v>8.8318375447234046E-2</v>
      </c>
      <c r="BH127" s="67"/>
      <c r="BI127" s="183"/>
      <c r="BJ127" s="67"/>
      <c r="BK127" s="67"/>
      <c r="BL127" s="67"/>
      <c r="BM127" s="156"/>
      <c r="BN127" s="66">
        <f t="shared" ref="BN127:BN164" si="103">+BC127/BW127</f>
        <v>380052.25423728814</v>
      </c>
      <c r="BO127" s="67"/>
      <c r="BP127" s="67">
        <f t="shared" ref="BP127:BP164" si="104">+BP126+BE127</f>
        <v>3342017</v>
      </c>
      <c r="BQ127" s="67"/>
      <c r="BR127" s="478">
        <f t="shared" ref="BR127:BR164" si="105">+BP127/BC127</f>
        <v>7.4521799700781557E-2</v>
      </c>
      <c r="BS127" s="67"/>
      <c r="BT127" s="86"/>
      <c r="BU127" s="183"/>
      <c r="BV127" s="1"/>
      <c r="BW127">
        <f t="shared" si="53"/>
        <v>118</v>
      </c>
    </row>
    <row r="128" spans="1:75" x14ac:dyDescent="0.3">
      <c r="B128" s="171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3701927</v>
      </c>
      <c r="I128" s="16"/>
      <c r="J128" s="38">
        <f t="shared" si="90"/>
        <v>2.0225220123030234E-2</v>
      </c>
      <c r="K128" s="16"/>
      <c r="L128" s="16"/>
      <c r="M128" s="16"/>
      <c r="N128" s="16"/>
      <c r="O128" s="16">
        <f t="shared" si="91"/>
        <v>31108.63025210084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142352</v>
      </c>
      <c r="AB128" s="33"/>
      <c r="AC128" s="46">
        <f t="shared" si="94"/>
        <v>3.8453486522019478E-2</v>
      </c>
      <c r="AD128" s="33"/>
      <c r="AE128" s="33">
        <f t="shared" si="95"/>
        <v>1196.2352941176471</v>
      </c>
      <c r="AF128" s="50"/>
      <c r="AG128" s="33"/>
      <c r="AH128" s="33"/>
      <c r="AI128" s="231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504">
        <f t="shared" si="97"/>
        <v>2.0456729863751411E-2</v>
      </c>
      <c r="AS128" s="25"/>
      <c r="AT128" s="25"/>
      <c r="AU128" s="24"/>
      <c r="AV128" s="341">
        <f t="shared" si="98"/>
        <v>0.45371856333201599</v>
      </c>
      <c r="AW128" s="341"/>
      <c r="AX128" s="24">
        <f t="shared" si="99"/>
        <v>14114.563025210084</v>
      </c>
      <c r="AY128" s="351"/>
      <c r="AZ128" s="10"/>
      <c r="BA128" s="66">
        <f t="shared" si="100"/>
        <v>850863</v>
      </c>
      <c r="BB128" s="67"/>
      <c r="BC128" s="67">
        <v>45697029</v>
      </c>
      <c r="BD128" s="67"/>
      <c r="BE128" s="67">
        <f t="shared" si="101"/>
        <v>73388</v>
      </c>
      <c r="BF128" s="67"/>
      <c r="BG128" s="156">
        <f t="shared" si="102"/>
        <v>8.6251253139459583E-2</v>
      </c>
      <c r="BH128" s="67"/>
      <c r="BI128" s="183"/>
      <c r="BJ128" s="67"/>
      <c r="BK128" s="67"/>
      <c r="BL128" s="67"/>
      <c r="BM128" s="156"/>
      <c r="BN128" s="66">
        <f t="shared" si="103"/>
        <v>384008.64705882355</v>
      </c>
      <c r="BO128" s="67"/>
      <c r="BP128" s="67">
        <f t="shared" si="104"/>
        <v>3415405</v>
      </c>
      <c r="BQ128" s="67"/>
      <c r="BR128" s="478">
        <f t="shared" si="105"/>
        <v>7.4740198099093047E-2</v>
      </c>
      <c r="BS128" s="67"/>
      <c r="BT128" s="86"/>
      <c r="BU128" s="183"/>
      <c r="BV128" s="1"/>
      <c r="BW128">
        <f t="shared" si="53"/>
        <v>119</v>
      </c>
    </row>
    <row r="129" spans="1:75" x14ac:dyDescent="0.3">
      <c r="B129" s="171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3776914</v>
      </c>
      <c r="I129" s="16"/>
      <c r="J129" s="38">
        <f t="shared" si="90"/>
        <v>2.0256207105110391E-2</v>
      </c>
      <c r="K129" s="16"/>
      <c r="L129" s="16"/>
      <c r="M129" s="16"/>
      <c r="N129" s="16"/>
      <c r="O129" s="16">
        <f t="shared" si="91"/>
        <v>31474.283333333333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143298</v>
      </c>
      <c r="AB129" s="33"/>
      <c r="AC129" s="46">
        <f t="shared" si="94"/>
        <v>3.7940498512807015E-2</v>
      </c>
      <c r="AD129" s="33"/>
      <c r="AE129" s="33">
        <f t="shared" si="95"/>
        <v>1194.1500000000001</v>
      </c>
      <c r="AF129" s="50"/>
      <c r="AG129" s="33"/>
      <c r="AH129" s="33"/>
      <c r="AI129" s="231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504">
        <f t="shared" si="97"/>
        <v>3.6674678337470151E-2</v>
      </c>
      <c r="AS129" s="25"/>
      <c r="AT129" s="25"/>
      <c r="AU129" s="24"/>
      <c r="AV129" s="341">
        <f t="shared" si="98"/>
        <v>0.46102002852063878</v>
      </c>
      <c r="AW129" s="341"/>
      <c r="AX129" s="24">
        <f t="shared" si="99"/>
        <v>14510.275</v>
      </c>
      <c r="AY129" s="351"/>
      <c r="AZ129" s="10"/>
      <c r="BA129" s="66">
        <f t="shared" si="100"/>
        <v>911678</v>
      </c>
      <c r="BB129" s="67"/>
      <c r="BC129" s="67">
        <v>46608707</v>
      </c>
      <c r="BD129" s="67"/>
      <c r="BE129" s="67">
        <f t="shared" si="101"/>
        <v>74987</v>
      </c>
      <c r="BF129" s="67"/>
      <c r="BG129" s="156">
        <f t="shared" si="102"/>
        <v>8.2251628316137929E-2</v>
      </c>
      <c r="BH129" s="67"/>
      <c r="BI129" s="183"/>
      <c r="BJ129" s="67"/>
      <c r="BK129" s="67"/>
      <c r="BL129" s="67"/>
      <c r="BM129" s="156"/>
      <c r="BN129" s="66">
        <f t="shared" si="103"/>
        <v>388405.89166666666</v>
      </c>
      <c r="BO129" s="67"/>
      <c r="BP129" s="67">
        <f t="shared" si="104"/>
        <v>3490392</v>
      </c>
      <c r="BQ129" s="67"/>
      <c r="BR129" s="478">
        <f t="shared" si="105"/>
        <v>7.4887123558265628E-2</v>
      </c>
      <c r="BS129" s="67"/>
      <c r="BT129" s="86"/>
      <c r="BU129" s="183"/>
      <c r="BV129" s="1"/>
      <c r="BW129">
        <f t="shared" si="53"/>
        <v>120</v>
      </c>
    </row>
    <row r="130" spans="1:75" x14ac:dyDescent="0.3">
      <c r="B130" s="171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3840173</v>
      </c>
      <c r="I130" s="16"/>
      <c r="J130" s="479">
        <f t="shared" si="90"/>
        <v>1.6748858989111215E-2</v>
      </c>
      <c r="K130" s="16"/>
      <c r="L130" s="16"/>
      <c r="M130" s="16"/>
      <c r="N130" s="16"/>
      <c r="O130" s="16">
        <f t="shared" si="91"/>
        <v>31736.96694214876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144111</v>
      </c>
      <c r="AB130" s="33"/>
      <c r="AC130" s="46">
        <f t="shared" si="94"/>
        <v>3.752721557075684E-2</v>
      </c>
      <c r="AD130" s="33"/>
      <c r="AE130" s="33">
        <f t="shared" si="95"/>
        <v>1191</v>
      </c>
      <c r="AF130" s="50"/>
      <c r="AG130" s="33"/>
      <c r="AH130" s="33"/>
      <c r="AI130" s="231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504">
        <f t="shared" si="97"/>
        <v>1.9446564589575319E-2</v>
      </c>
      <c r="AS130" s="25"/>
      <c r="AT130" s="25"/>
      <c r="AU130" s="24"/>
      <c r="AV130" s="341">
        <f t="shared" si="98"/>
        <v>0.46224323747914481</v>
      </c>
      <c r="AW130" s="341"/>
      <c r="AX130" s="24">
        <f t="shared" si="99"/>
        <v>14670.198347107438</v>
      </c>
      <c r="AY130" s="351"/>
      <c r="AZ130" s="10"/>
      <c r="BA130" s="66">
        <f t="shared" si="100"/>
        <v>989570</v>
      </c>
      <c r="BB130" s="67"/>
      <c r="BC130" s="67">
        <v>47598277</v>
      </c>
      <c r="BD130" s="67"/>
      <c r="BE130" s="67">
        <f t="shared" si="101"/>
        <v>63259</v>
      </c>
      <c r="BF130" s="67"/>
      <c r="BG130" s="156">
        <f t="shared" si="102"/>
        <v>6.3925745525834451E-2</v>
      </c>
      <c r="BH130" s="67"/>
      <c r="BI130" s="183"/>
      <c r="BJ130" s="67"/>
      <c r="BK130" s="67"/>
      <c r="BL130" s="67"/>
      <c r="BM130" s="156"/>
      <c r="BN130" s="66">
        <f t="shared" si="103"/>
        <v>393374.19008264464</v>
      </c>
      <c r="BO130" s="67"/>
      <c r="BP130" s="67">
        <f t="shared" si="104"/>
        <v>3553651</v>
      </c>
      <c r="BQ130" s="67"/>
      <c r="BR130" s="478">
        <f t="shared" si="105"/>
        <v>7.4659236089575254E-2</v>
      </c>
      <c r="BS130" s="67"/>
      <c r="BT130" s="86"/>
      <c r="BU130" s="183"/>
      <c r="BV130" s="1"/>
      <c r="BW130">
        <f t="shared" si="53"/>
        <v>121</v>
      </c>
    </row>
    <row r="131" spans="1:75" x14ac:dyDescent="0.3">
      <c r="B131" s="390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3905452</v>
      </c>
      <c r="I131" s="16"/>
      <c r="J131" s="479">
        <f t="shared" si="90"/>
        <v>1.699897374415163E-2</v>
      </c>
      <c r="K131" s="16"/>
      <c r="L131" s="16"/>
      <c r="M131" s="16"/>
      <c r="N131" s="16">
        <f>SUM(D125:D131)</f>
        <v>480454</v>
      </c>
      <c r="O131" s="16">
        <f t="shared" si="91"/>
        <v>32011.901639344262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91">
        <f t="shared" si="85"/>
        <v>23</v>
      </c>
      <c r="W131" s="34">
        <v>412</v>
      </c>
      <c r="X131" s="33"/>
      <c r="Y131" s="33"/>
      <c r="Z131" s="33"/>
      <c r="AA131" s="33">
        <f t="shared" si="93"/>
        <v>144523</v>
      </c>
      <c r="AB131" s="33"/>
      <c r="AC131" s="46">
        <f t="shared" si="94"/>
        <v>3.7005447768913818E-2</v>
      </c>
      <c r="AD131" s="33"/>
      <c r="AE131" s="33">
        <f t="shared" si="95"/>
        <v>1184.6147540983607</v>
      </c>
      <c r="AF131" s="50"/>
      <c r="AG131" s="33">
        <f>SUM(W125:W131)</f>
        <v>5537</v>
      </c>
      <c r="AH131" s="33">
        <f>SUM(D102:D189)</f>
        <v>4392718</v>
      </c>
      <c r="AI131" s="231">
        <f>+(AG131-AG124)/AG124</f>
        <v>6.8712603744450873E-2</v>
      </c>
      <c r="AJ131" s="50"/>
      <c r="AK131" s="391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504">
        <f t="shared" si="97"/>
        <v>1.5347919603130877E-2</v>
      </c>
      <c r="AS131" s="25"/>
      <c r="AT131" s="25"/>
      <c r="AU131" s="24"/>
      <c r="AV131" s="341">
        <f t="shared" si="98"/>
        <v>0.4614928054422382</v>
      </c>
      <c r="AW131" s="341"/>
      <c r="AX131" s="24">
        <f t="shared" si="99"/>
        <v>14773.262295081968</v>
      </c>
      <c r="AY131" s="351"/>
      <c r="AZ131" s="391"/>
      <c r="BA131" s="66">
        <f t="shared" si="100"/>
        <v>743458</v>
      </c>
      <c r="BB131" s="67"/>
      <c r="BC131" s="67">
        <v>48341735</v>
      </c>
      <c r="BD131" s="67"/>
      <c r="BE131" s="67">
        <f t="shared" si="101"/>
        <v>65279</v>
      </c>
      <c r="BF131" s="67"/>
      <c r="BG131" s="156">
        <f t="shared" si="102"/>
        <v>8.7804556545225149E-2</v>
      </c>
      <c r="BH131" s="67"/>
      <c r="BI131" s="183"/>
      <c r="BJ131" s="67"/>
      <c r="BK131" s="67">
        <f>SUM(BA125:BA131)</f>
        <v>5872128</v>
      </c>
      <c r="BL131" s="67"/>
      <c r="BM131" s="156">
        <f>+Q131/BK131</f>
        <v>8.1819401756909937E-2</v>
      </c>
      <c r="BN131" s="66">
        <f t="shared" si="103"/>
        <v>396243.7295081967</v>
      </c>
      <c r="BO131" s="67"/>
      <c r="BP131" s="67">
        <f t="shared" si="104"/>
        <v>3618930</v>
      </c>
      <c r="BQ131" s="67"/>
      <c r="BR131" s="478">
        <f t="shared" si="105"/>
        <v>7.4861400816499446E-2</v>
      </c>
      <c r="BS131" s="67"/>
      <c r="BT131" s="86"/>
      <c r="BU131" s="183"/>
      <c r="BV131" s="1"/>
      <c r="BW131" s="472">
        <f t="shared" si="53"/>
        <v>122</v>
      </c>
    </row>
    <row r="132" spans="1:75" x14ac:dyDescent="0.3">
      <c r="B132" s="171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3968331</v>
      </c>
      <c r="I132" s="16"/>
      <c r="J132" s="479">
        <f t="shared" si="90"/>
        <v>1.610031310076273E-2</v>
      </c>
      <c r="K132" s="16"/>
      <c r="L132" s="16"/>
      <c r="M132" s="16"/>
      <c r="N132" s="16"/>
      <c r="O132" s="16">
        <f t="shared" si="91"/>
        <v>32262.853658536584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145068</v>
      </c>
      <c r="AB132" s="33"/>
      <c r="AC132" s="46">
        <f t="shared" si="94"/>
        <v>3.6556426366651372E-2</v>
      </c>
      <c r="AD132" s="33"/>
      <c r="AE132" s="33">
        <f t="shared" si="95"/>
        <v>1179.4146341463415</v>
      </c>
      <c r="AF132" s="50"/>
      <c r="AG132" s="33"/>
      <c r="AH132" s="33"/>
      <c r="AI132" s="231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504">
        <f t="shared" si="97"/>
        <v>2.6438437185477972E-2</v>
      </c>
      <c r="AS132" s="25"/>
      <c r="AT132" s="25"/>
      <c r="AU132" s="24"/>
      <c r="AV132" s="341">
        <f t="shared" si="98"/>
        <v>0.46618817835508175</v>
      </c>
      <c r="AW132" s="341"/>
      <c r="AX132" s="24">
        <f t="shared" si="99"/>
        <v>15040.560975609756</v>
      </c>
      <c r="AY132" s="351"/>
      <c r="AZ132" s="10"/>
      <c r="BA132" s="66">
        <f t="shared" si="100"/>
        <v>820172</v>
      </c>
      <c r="BB132" s="67"/>
      <c r="BC132" s="67">
        <v>49161907</v>
      </c>
      <c r="BD132" s="67"/>
      <c r="BE132" s="67">
        <f t="shared" si="101"/>
        <v>62879</v>
      </c>
      <c r="BF132" s="67"/>
      <c r="BG132" s="156">
        <f t="shared" si="102"/>
        <v>7.6665626234497158E-2</v>
      </c>
      <c r="BH132" s="67"/>
      <c r="BI132" s="183"/>
      <c r="BJ132" s="67"/>
      <c r="BK132" s="67"/>
      <c r="BL132" s="67"/>
      <c r="BM132" s="156"/>
      <c r="BN132" s="66">
        <f t="shared" si="103"/>
        <v>399690.30081300816</v>
      </c>
      <c r="BO132" s="67"/>
      <c r="BP132" s="67">
        <f t="shared" si="104"/>
        <v>3681809</v>
      </c>
      <c r="BQ132" s="67"/>
      <c r="BR132" s="478">
        <f t="shared" si="105"/>
        <v>7.4891500852479143E-2</v>
      </c>
      <c r="BS132" s="67"/>
      <c r="BT132" s="86"/>
      <c r="BU132" s="183"/>
      <c r="BV132" s="1"/>
      <c r="BW132">
        <f t="shared" si="53"/>
        <v>123</v>
      </c>
    </row>
    <row r="133" spans="1:75" x14ac:dyDescent="0.3">
      <c r="B133" s="171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4035810</v>
      </c>
      <c r="I133" s="16"/>
      <c r="J133" s="479">
        <f t="shared" si="90"/>
        <v>1.7004377911015993E-2</v>
      </c>
      <c r="K133" s="16"/>
      <c r="L133" s="16"/>
      <c r="M133" s="16"/>
      <c r="N133" s="16"/>
      <c r="O133" s="16">
        <f t="shared" si="91"/>
        <v>32546.854838709678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146233</v>
      </c>
      <c r="AB133" s="33"/>
      <c r="AC133" s="46">
        <f t="shared" si="94"/>
        <v>3.6233866311843221E-2</v>
      </c>
      <c r="AD133" s="33"/>
      <c r="AE133" s="33">
        <f t="shared" si="95"/>
        <v>1179.2983870967741</v>
      </c>
      <c r="AF133" s="50"/>
      <c r="AG133" s="33"/>
      <c r="AH133" s="33"/>
      <c r="AI133" s="231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504">
        <f t="shared" si="97"/>
        <v>1.9780658155264707E-2</v>
      </c>
      <c r="AS133" s="25"/>
      <c r="AT133" s="25"/>
      <c r="AU133" s="24"/>
      <c r="AV133" s="341">
        <f t="shared" si="98"/>
        <v>0.46746080712422039</v>
      </c>
      <c r="AW133" s="341"/>
      <c r="AX133" s="24">
        <f t="shared" si="99"/>
        <v>15214.379032258064</v>
      </c>
      <c r="AY133" s="351"/>
      <c r="AZ133" s="10"/>
      <c r="BA133" s="66">
        <f t="shared" si="100"/>
        <v>751646</v>
      </c>
      <c r="BB133" s="67"/>
      <c r="BC133" s="67">
        <v>49913553</v>
      </c>
      <c r="BD133" s="67"/>
      <c r="BE133" s="67">
        <f t="shared" si="101"/>
        <v>67479</v>
      </c>
      <c r="BF133" s="67"/>
      <c r="BG133" s="156">
        <f t="shared" si="102"/>
        <v>8.9774973857374346E-2</v>
      </c>
      <c r="BH133" s="67"/>
      <c r="BI133" s="183"/>
      <c r="BJ133" s="67"/>
      <c r="BK133" s="67"/>
      <c r="BL133" s="67"/>
      <c r="BM133" s="156"/>
      <c r="BN133" s="66">
        <f t="shared" si="103"/>
        <v>402528.65322580643</v>
      </c>
      <c r="BO133" s="67"/>
      <c r="BP133" s="67">
        <f t="shared" si="104"/>
        <v>3749288</v>
      </c>
      <c r="BQ133" s="67"/>
      <c r="BR133" s="478">
        <f t="shared" si="105"/>
        <v>7.5115630418054996E-2</v>
      </c>
      <c r="BS133" s="67"/>
      <c r="BT133" s="86"/>
      <c r="BU133" s="183"/>
      <c r="BV133" s="1"/>
      <c r="BW133">
        <f t="shared" si="53"/>
        <v>124</v>
      </c>
    </row>
    <row r="134" spans="1:75" x14ac:dyDescent="0.3">
      <c r="A134" s="61"/>
      <c r="B134" s="171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4107777</v>
      </c>
      <c r="I134" s="16"/>
      <c r="J134" s="479">
        <f t="shared" si="90"/>
        <v>1.7832108052658575E-2</v>
      </c>
      <c r="K134" s="16"/>
      <c r="L134" s="16"/>
      <c r="M134" s="16"/>
      <c r="N134" s="16"/>
      <c r="O134" s="16">
        <f t="shared" si="91"/>
        <v>32862.216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147438</v>
      </c>
      <c r="AB134" s="33"/>
      <c r="AC134" s="46">
        <f t="shared" si="94"/>
        <v>3.5892406038594594E-2</v>
      </c>
      <c r="AD134" s="33"/>
      <c r="AE134" s="33">
        <f t="shared" si="95"/>
        <v>1179.5039999999999</v>
      </c>
      <c r="AF134" s="50"/>
      <c r="AG134" s="33"/>
      <c r="AH134" s="33"/>
      <c r="AI134" s="231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504">
        <f t="shared" si="97"/>
        <v>2.971191832005271E-2</v>
      </c>
      <c r="AS134" s="25"/>
      <c r="AT134" s="25"/>
      <c r="AU134" s="24"/>
      <c r="AV134" s="341">
        <f t="shared" si="98"/>
        <v>0.47291685989770138</v>
      </c>
      <c r="AW134" s="341"/>
      <c r="AX134" s="24">
        <f t="shared" si="99"/>
        <v>15541.096</v>
      </c>
      <c r="AY134" s="351"/>
      <c r="AZ134" s="10"/>
      <c r="BA134" s="66">
        <f t="shared" si="100"/>
        <v>819317</v>
      </c>
      <c r="BB134" s="67"/>
      <c r="BC134" s="67">
        <v>50732870</v>
      </c>
      <c r="BD134" s="67"/>
      <c r="BE134" s="67">
        <f t="shared" si="101"/>
        <v>71967</v>
      </c>
      <c r="BF134" s="67"/>
      <c r="BG134" s="156">
        <f t="shared" si="102"/>
        <v>8.7837796603756541E-2</v>
      </c>
      <c r="BH134" s="67"/>
      <c r="BI134" s="183"/>
      <c r="BJ134" s="67"/>
      <c r="BK134" s="67"/>
      <c r="BL134" s="67"/>
      <c r="BM134" s="156"/>
      <c r="BN134" s="66">
        <f t="shared" si="103"/>
        <v>405862.96</v>
      </c>
      <c r="BO134" s="67"/>
      <c r="BP134" s="67">
        <f t="shared" si="104"/>
        <v>3821255</v>
      </c>
      <c r="BQ134" s="67"/>
      <c r="BR134" s="478">
        <f t="shared" si="105"/>
        <v>7.5321088674857151E-2</v>
      </c>
      <c r="BS134" s="67"/>
      <c r="BT134" s="86"/>
      <c r="BU134" s="183"/>
      <c r="BV134" s="1"/>
      <c r="BW134">
        <f t="shared" si="53"/>
        <v>125</v>
      </c>
    </row>
    <row r="135" spans="1:75" x14ac:dyDescent="0.3">
      <c r="A135" s="61"/>
      <c r="B135" s="171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4177220</v>
      </c>
      <c r="I135" s="16"/>
      <c r="J135" s="479">
        <f t="shared" si="90"/>
        <v>1.6905250698857312E-2</v>
      </c>
      <c r="K135" s="16"/>
      <c r="L135" s="16"/>
      <c r="M135" s="16"/>
      <c r="N135" s="16"/>
      <c r="O135" s="16">
        <f t="shared" si="91"/>
        <v>33152.539682539682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148604</v>
      </c>
      <c r="AB135" s="33"/>
      <c r="AC135" s="46">
        <f t="shared" si="94"/>
        <v>3.5574856004711268E-2</v>
      </c>
      <c r="AD135" s="33"/>
      <c r="AE135" s="33">
        <f t="shared" si="95"/>
        <v>1179.3968253968253</v>
      </c>
      <c r="AF135" s="50"/>
      <c r="AG135" s="33"/>
      <c r="AH135" s="33"/>
      <c r="AI135" s="231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504">
        <f t="shared" si="97"/>
        <v>1.9035980473963997E-2</v>
      </c>
      <c r="AS135" s="25"/>
      <c r="AT135" s="25"/>
      <c r="AU135" s="24"/>
      <c r="AV135" s="341">
        <f t="shared" si="98"/>
        <v>0.47390776640923871</v>
      </c>
      <c r="AW135" s="341"/>
      <c r="AX135" s="24">
        <f t="shared" si="99"/>
        <v>15711.246031746032</v>
      </c>
      <c r="AY135" s="351"/>
      <c r="AZ135" s="10"/>
      <c r="BA135" s="66">
        <f t="shared" si="100"/>
        <v>819305</v>
      </c>
      <c r="BB135" s="67"/>
      <c r="BC135" s="67">
        <v>51552175</v>
      </c>
      <c r="BD135" s="67"/>
      <c r="BE135" s="67">
        <f t="shared" si="101"/>
        <v>69443</v>
      </c>
      <c r="BF135" s="67"/>
      <c r="BG135" s="156">
        <f t="shared" si="102"/>
        <v>8.475842329779508E-2</v>
      </c>
      <c r="BH135" s="67"/>
      <c r="BI135" s="183"/>
      <c r="BJ135" s="67"/>
      <c r="BK135" s="67"/>
      <c r="BL135" s="67"/>
      <c r="BM135" s="156"/>
      <c r="BN135" s="66">
        <f t="shared" si="103"/>
        <v>409144.24603174604</v>
      </c>
      <c r="BO135" s="67"/>
      <c r="BP135" s="67">
        <f t="shared" si="104"/>
        <v>3890698</v>
      </c>
      <c r="BQ135" s="67"/>
      <c r="BR135" s="478">
        <f t="shared" si="105"/>
        <v>7.5471073722883655E-2</v>
      </c>
      <c r="BS135" s="67"/>
      <c r="BT135" s="86"/>
      <c r="BU135" s="183"/>
      <c r="BV135" s="1"/>
      <c r="BW135">
        <f t="shared" si="53"/>
        <v>126</v>
      </c>
    </row>
    <row r="136" spans="1:75" x14ac:dyDescent="0.3">
      <c r="A136" s="61"/>
      <c r="B136" s="171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4255198</v>
      </c>
      <c r="I136" s="16"/>
      <c r="J136" s="479">
        <f t="shared" si="90"/>
        <v>1.8667439110221631E-2</v>
      </c>
      <c r="K136" s="16"/>
      <c r="L136" s="16"/>
      <c r="M136" s="16"/>
      <c r="N136" s="16"/>
      <c r="O136" s="16">
        <f t="shared" si="91"/>
        <v>33505.496062992126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149745</v>
      </c>
      <c r="AB136" s="33"/>
      <c r="AC136" s="46">
        <f t="shared" si="94"/>
        <v>3.519107688995906E-2</v>
      </c>
      <c r="AD136" s="33"/>
      <c r="AE136" s="33">
        <f t="shared" si="95"/>
        <v>1179.0944881889764</v>
      </c>
      <c r="AF136" s="50"/>
      <c r="AG136" s="33"/>
      <c r="AH136" s="33"/>
      <c r="AI136" s="231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504">
        <f t="shared" si="97"/>
        <v>2.4386030227059072E-2</v>
      </c>
      <c r="AS136" s="25"/>
      <c r="AT136" s="25"/>
      <c r="AU136" s="24"/>
      <c r="AV136" s="341">
        <f t="shared" si="98"/>
        <v>0.47656818789630939</v>
      </c>
      <c r="AW136" s="341"/>
      <c r="AX136" s="24">
        <f t="shared" si="99"/>
        <v>15967.653543307086</v>
      </c>
      <c r="AY136" s="351"/>
      <c r="AZ136" s="10"/>
      <c r="BA136" s="66">
        <f t="shared" si="100"/>
        <v>968251</v>
      </c>
      <c r="BB136" s="67"/>
      <c r="BC136" s="67">
        <v>52520426</v>
      </c>
      <c r="BD136" s="67"/>
      <c r="BE136" s="67">
        <f t="shared" si="101"/>
        <v>77978</v>
      </c>
      <c r="BF136" s="67"/>
      <c r="BG136" s="156">
        <f t="shared" si="102"/>
        <v>8.0534902623390012E-2</v>
      </c>
      <c r="BH136" s="67"/>
      <c r="BI136" s="183"/>
      <c r="BJ136" s="67"/>
      <c r="BK136" s="67"/>
      <c r="BL136" s="67"/>
      <c r="BM136" s="156"/>
      <c r="BN136" s="66">
        <f t="shared" si="103"/>
        <v>413546.66141732282</v>
      </c>
      <c r="BO136" s="67"/>
      <c r="BP136" s="67">
        <f t="shared" si="104"/>
        <v>3968676</v>
      </c>
      <c r="BQ136" s="67"/>
      <c r="BR136" s="478">
        <f t="shared" si="105"/>
        <v>7.5564428970930284E-2</v>
      </c>
      <c r="BS136" s="67"/>
      <c r="BT136" s="86"/>
      <c r="BU136" s="183"/>
      <c r="BV136" s="1"/>
      <c r="BW136">
        <f t="shared" si="53"/>
        <v>127</v>
      </c>
    </row>
    <row r="137" spans="1:75" x14ac:dyDescent="0.3">
      <c r="A137" s="61"/>
      <c r="B137" s="171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4322611</v>
      </c>
      <c r="I137" s="16"/>
      <c r="J137" s="479">
        <f t="shared" si="90"/>
        <v>1.5842506036146849E-2</v>
      </c>
      <c r="K137" s="16"/>
      <c r="L137" s="16"/>
      <c r="M137" s="16"/>
      <c r="N137" s="16"/>
      <c r="O137" s="16">
        <f t="shared" si="91"/>
        <v>33770.3984375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150653</v>
      </c>
      <c r="AB137" s="33"/>
      <c r="AC137" s="46">
        <f t="shared" si="94"/>
        <v>3.4852314955012141E-2</v>
      </c>
      <c r="AD137" s="33"/>
      <c r="AE137" s="33">
        <f t="shared" si="95"/>
        <v>1176.9765625</v>
      </c>
      <c r="AF137" s="50"/>
      <c r="AG137" s="33"/>
      <c r="AH137" s="33"/>
      <c r="AI137" s="231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504">
        <f t="shared" si="97"/>
        <v>1.6667554287900933E-2</v>
      </c>
      <c r="AS137" s="25"/>
      <c r="AT137" s="25"/>
      <c r="AU137" s="24"/>
      <c r="AV137" s="341">
        <f t="shared" si="98"/>
        <v>0.47695524765008929</v>
      </c>
      <c r="AW137" s="341"/>
      <c r="AX137" s="24">
        <f t="shared" si="99"/>
        <v>16106.96875</v>
      </c>
      <c r="AY137" s="351"/>
      <c r="AZ137" s="10"/>
      <c r="BA137" s="66">
        <f t="shared" si="100"/>
        <v>831824</v>
      </c>
      <c r="BB137" s="67"/>
      <c r="BC137" s="67">
        <v>53352250</v>
      </c>
      <c r="BD137" s="67"/>
      <c r="BE137" s="67">
        <f t="shared" si="101"/>
        <v>67413</v>
      </c>
      <c r="BF137" s="67"/>
      <c r="BG137" s="156">
        <f t="shared" si="102"/>
        <v>8.1042383965838932E-2</v>
      </c>
      <c r="BH137" s="67"/>
      <c r="BI137" s="183"/>
      <c r="BJ137" s="67"/>
      <c r="BK137" s="67"/>
      <c r="BL137" s="67"/>
      <c r="BM137" s="156"/>
      <c r="BN137" s="66">
        <f t="shared" si="103"/>
        <v>416814.453125</v>
      </c>
      <c r="BO137" s="67"/>
      <c r="BP137" s="67">
        <f t="shared" si="104"/>
        <v>4036089</v>
      </c>
      <c r="BQ137" s="67"/>
      <c r="BR137" s="478">
        <f t="shared" si="105"/>
        <v>7.5649836698545983E-2</v>
      </c>
      <c r="BS137" s="67"/>
      <c r="BT137" s="86"/>
      <c r="BU137" s="183"/>
      <c r="BV137" s="1"/>
      <c r="BW137">
        <f t="shared" si="53"/>
        <v>128</v>
      </c>
    </row>
    <row r="138" spans="1:75" x14ac:dyDescent="0.3">
      <c r="A138" s="61"/>
      <c r="B138" s="390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4378741</v>
      </c>
      <c r="I138" s="16"/>
      <c r="J138" s="479">
        <f t="shared" si="90"/>
        <v>1.2985207320297848E-2</v>
      </c>
      <c r="K138" s="16"/>
      <c r="L138" s="16"/>
      <c r="M138" s="16"/>
      <c r="N138" s="16">
        <f>SUM(D132:D138)</f>
        <v>473289</v>
      </c>
      <c r="O138" s="16">
        <f t="shared" si="91"/>
        <v>33943.728682170542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91">
        <f t="shared" si="85"/>
        <v>30</v>
      </c>
      <c r="W138" s="34">
        <v>450</v>
      </c>
      <c r="X138" s="33"/>
      <c r="Y138" s="33"/>
      <c r="Z138" s="33"/>
      <c r="AA138" s="33">
        <f t="shared" si="93"/>
        <v>151103</v>
      </c>
      <c r="AB138" s="33"/>
      <c r="AC138" s="46">
        <f t="shared" si="94"/>
        <v>3.4508320999118242E-2</v>
      </c>
      <c r="AD138" s="33"/>
      <c r="AE138" s="33">
        <f t="shared" si="95"/>
        <v>1171.3410852713178</v>
      </c>
      <c r="AF138" s="50"/>
      <c r="AG138" s="33">
        <f>SUM(W132:W138)</f>
        <v>6580</v>
      </c>
      <c r="AH138" s="33">
        <f>SUM(D109:D196)</f>
        <v>4179084</v>
      </c>
      <c r="AI138" s="231">
        <f>+(AG138-AG131)/AG131</f>
        <v>0.18836915297092288</v>
      </c>
      <c r="AJ138" s="50"/>
      <c r="AK138" s="391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504">
        <f t="shared" si="97"/>
        <v>1.3793039891506587E-2</v>
      </c>
      <c r="AS138" s="25"/>
      <c r="AT138" s="25"/>
      <c r="AU138" s="24"/>
      <c r="AV138" s="341">
        <f t="shared" si="98"/>
        <v>0.47733560856876439</v>
      </c>
      <c r="AW138" s="341"/>
      <c r="AX138" s="24">
        <f t="shared" si="99"/>
        <v>16202.550387596899</v>
      </c>
      <c r="AY138" s="351"/>
      <c r="AZ138" s="391"/>
      <c r="BA138" s="66">
        <f t="shared" si="100"/>
        <v>867325</v>
      </c>
      <c r="BB138" s="67"/>
      <c r="BC138" s="67">
        <v>54219575</v>
      </c>
      <c r="BD138" s="67"/>
      <c r="BE138" s="67">
        <f t="shared" si="101"/>
        <v>56130</v>
      </c>
      <c r="BF138" s="67"/>
      <c r="BG138" s="156">
        <f t="shared" si="102"/>
        <v>6.4716225175107375E-2</v>
      </c>
      <c r="BH138" s="67"/>
      <c r="BI138" s="183"/>
      <c r="BJ138" s="67"/>
      <c r="BK138" s="67">
        <f t="shared" ref="BK138:BK164" si="107">SUM(BA132:BA138)</f>
        <v>5877840</v>
      </c>
      <c r="BL138" s="67"/>
      <c r="BM138" s="156">
        <f t="shared" ref="BM138:BM164" si="108">+Q138/BK138</f>
        <v>8.0520905638806095E-2</v>
      </c>
      <c r="BN138" s="66">
        <f t="shared" si="103"/>
        <v>420306.78294573643</v>
      </c>
      <c r="BO138" s="67"/>
      <c r="BP138" s="67">
        <f t="shared" si="104"/>
        <v>4092219</v>
      </c>
      <c r="BQ138" s="67"/>
      <c r="BR138" s="478">
        <f t="shared" si="105"/>
        <v>7.5474936865513972E-2</v>
      </c>
      <c r="BS138" s="67"/>
      <c r="BT138" s="86"/>
      <c r="BU138" s="183"/>
      <c r="BV138" s="1"/>
      <c r="BW138" s="472">
        <f t="shared" si="53"/>
        <v>129</v>
      </c>
    </row>
    <row r="139" spans="1:75" x14ac:dyDescent="0.3">
      <c r="A139" s="549"/>
      <c r="B139" s="171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4440312</v>
      </c>
      <c r="I139" s="16"/>
      <c r="J139" s="479">
        <f t="shared" si="90"/>
        <v>1.406134777096887E-2</v>
      </c>
      <c r="K139" s="16"/>
      <c r="L139" s="16"/>
      <c r="M139" s="16"/>
      <c r="N139" s="16"/>
      <c r="O139" s="16">
        <f t="shared" si="91"/>
        <v>34156.24615384615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151699</v>
      </c>
      <c r="AB139" s="33"/>
      <c r="AC139" s="46">
        <f t="shared" si="94"/>
        <v>3.4164040725066167E-2</v>
      </c>
      <c r="AD139" s="33"/>
      <c r="AE139" s="33">
        <f t="shared" si="95"/>
        <v>1166.9153846153847</v>
      </c>
      <c r="AF139" s="50"/>
      <c r="AG139" s="33"/>
      <c r="AH139" s="33"/>
      <c r="AI139" s="231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504">
        <f t="shared" si="97"/>
        <v>2.2234991237382956E-2</v>
      </c>
      <c r="AS139" s="25"/>
      <c r="AT139" s="25"/>
      <c r="AU139" s="24"/>
      <c r="AV139" s="341">
        <f t="shared" si="98"/>
        <v>0.48118307902687918</v>
      </c>
      <c r="AW139" s="341"/>
      <c r="AX139" s="24">
        <f t="shared" si="99"/>
        <v>16435.407692307694</v>
      </c>
      <c r="AY139" s="351"/>
      <c r="AZ139" s="10"/>
      <c r="BA139" s="66">
        <f t="shared" si="100"/>
        <v>798661</v>
      </c>
      <c r="BB139" s="67"/>
      <c r="BC139" s="67">
        <v>55018236</v>
      </c>
      <c r="BD139" s="67"/>
      <c r="BE139" s="67">
        <f t="shared" si="101"/>
        <v>61571</v>
      </c>
      <c r="BF139" s="67"/>
      <c r="BG139" s="156">
        <f t="shared" si="102"/>
        <v>7.7092784047299162E-2</v>
      </c>
      <c r="BH139" s="67"/>
      <c r="BI139" s="183"/>
      <c r="BJ139" s="67"/>
      <c r="BK139" s="67">
        <f t="shared" si="107"/>
        <v>5856329</v>
      </c>
      <c r="BL139" s="67"/>
      <c r="BM139" s="156">
        <f t="shared" si="108"/>
        <v>8.059332049138633E-2</v>
      </c>
      <c r="BN139" s="66">
        <f t="shared" si="103"/>
        <v>423217.2</v>
      </c>
      <c r="BO139" s="67"/>
      <c r="BP139" s="67">
        <f t="shared" si="104"/>
        <v>4153790</v>
      </c>
      <c r="BQ139" s="67"/>
      <c r="BR139" s="478">
        <f t="shared" si="105"/>
        <v>7.5498422014111832E-2</v>
      </c>
      <c r="BS139" s="67"/>
      <c r="BT139" s="86"/>
      <c r="BU139" s="183"/>
      <c r="BV139" s="1"/>
      <c r="BW139" s="61">
        <f t="shared" si="53"/>
        <v>130</v>
      </c>
    </row>
    <row r="140" spans="1:75" x14ac:dyDescent="0.3">
      <c r="A140" s="61"/>
      <c r="B140" s="171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4505041</v>
      </c>
      <c r="I140" s="16"/>
      <c r="J140" s="479">
        <f t="shared" si="90"/>
        <v>1.4577579233171002E-2</v>
      </c>
      <c r="K140" s="16"/>
      <c r="L140" s="16"/>
      <c r="M140" s="16"/>
      <c r="N140" s="16"/>
      <c r="O140" s="16">
        <f t="shared" si="91"/>
        <v>34389.625954198476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187" si="109">+V139+1</f>
        <v>32</v>
      </c>
      <c r="W140" s="34">
        <v>1245</v>
      </c>
      <c r="X140" s="33"/>
      <c r="Y140" s="33"/>
      <c r="Z140" s="33"/>
      <c r="AA140" s="33">
        <f t="shared" si="93"/>
        <v>152944</v>
      </c>
      <c r="AB140" s="33"/>
      <c r="AC140" s="46">
        <f t="shared" si="94"/>
        <v>3.3949524543727794E-2</v>
      </c>
      <c r="AD140" s="33"/>
      <c r="AE140" s="33">
        <f t="shared" si="95"/>
        <v>1167.5114503816794</v>
      </c>
      <c r="AF140" s="50"/>
      <c r="AG140" s="33"/>
      <c r="AH140" s="33"/>
      <c r="AI140" s="231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504">
        <f t="shared" si="97"/>
        <v>2.3069798179633744E-2</v>
      </c>
      <c r="AS140" s="25"/>
      <c r="AT140" s="25"/>
      <c r="AU140" s="24"/>
      <c r="AV140" s="341">
        <f t="shared" si="98"/>
        <v>0.48521067843777671</v>
      </c>
      <c r="AW140" s="341"/>
      <c r="AX140" s="24">
        <f t="shared" si="99"/>
        <v>16686.213740458013</v>
      </c>
      <c r="AY140" s="351"/>
      <c r="AZ140" s="10"/>
      <c r="BA140" s="66">
        <f t="shared" si="100"/>
        <v>787180</v>
      </c>
      <c r="BB140" s="67"/>
      <c r="BC140" s="67">
        <v>55805416</v>
      </c>
      <c r="BD140" s="67"/>
      <c r="BE140" s="67">
        <f t="shared" si="101"/>
        <v>64729</v>
      </c>
      <c r="BF140" s="67"/>
      <c r="BG140" s="156">
        <f t="shared" si="102"/>
        <v>8.2228969231941867E-2</v>
      </c>
      <c r="BH140" s="67"/>
      <c r="BI140" s="183"/>
      <c r="BJ140" s="67"/>
      <c r="BK140" s="67">
        <f t="shared" si="107"/>
        <v>5891863</v>
      </c>
      <c r="BL140" s="67"/>
      <c r="BM140" s="156">
        <f t="shared" si="108"/>
        <v>7.9640514383990266E-2</v>
      </c>
      <c r="BN140" s="66">
        <f t="shared" si="103"/>
        <v>425995.54198473284</v>
      </c>
      <c r="BO140" s="67"/>
      <c r="BP140" s="67">
        <f t="shared" si="104"/>
        <v>4218519</v>
      </c>
      <c r="BQ140" s="67"/>
      <c r="BR140" s="478">
        <f t="shared" si="105"/>
        <v>7.5593361762593084E-2</v>
      </c>
      <c r="BS140" s="67"/>
      <c r="BT140" s="86"/>
      <c r="BU140" s="183"/>
      <c r="BV140" s="1"/>
      <c r="BW140" s="61">
        <f t="shared" si="53"/>
        <v>131</v>
      </c>
    </row>
    <row r="141" spans="1:75" x14ac:dyDescent="0.3">
      <c r="A141" s="61"/>
      <c r="B141" s="171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4571962</v>
      </c>
      <c r="I141" s="16"/>
      <c r="J141" s="479">
        <f t="shared" si="90"/>
        <v>1.4854692776380948E-2</v>
      </c>
      <c r="K141" s="16"/>
      <c r="L141" s="16"/>
      <c r="M141" s="16"/>
      <c r="N141" s="16"/>
      <c r="O141" s="16">
        <f t="shared" si="91"/>
        <v>34636.07575757576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154429</v>
      </c>
      <c r="AB141" s="33"/>
      <c r="AC141" s="46">
        <f t="shared" si="94"/>
        <v>3.3777402349363356E-2</v>
      </c>
      <c r="AD141" s="33"/>
      <c r="AE141" s="33">
        <f t="shared" si="95"/>
        <v>1169.9166666666667</v>
      </c>
      <c r="AF141" s="50"/>
      <c r="AG141" s="33"/>
      <c r="AH141" s="33"/>
      <c r="AI141" s="231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504">
        <f t="shared" si="97"/>
        <v>2.7059866580904656E-2</v>
      </c>
      <c r="AS141" s="25"/>
      <c r="AT141" s="25"/>
      <c r="AU141" s="24"/>
      <c r="AV141" s="341">
        <f t="shared" si="98"/>
        <v>0.49104607606099965</v>
      </c>
      <c r="AW141" s="341"/>
      <c r="AX141" s="24">
        <f t="shared" si="99"/>
        <v>17007.909090909092</v>
      </c>
      <c r="AY141" s="351"/>
      <c r="AZ141" s="10"/>
      <c r="BA141" s="66">
        <f t="shared" si="100"/>
        <v>878963</v>
      </c>
      <c r="BB141" s="67"/>
      <c r="BC141" s="67">
        <v>56684379</v>
      </c>
      <c r="BD141" s="67"/>
      <c r="BE141" s="67">
        <f t="shared" si="101"/>
        <v>66921</v>
      </c>
      <c r="BF141" s="67"/>
      <c r="BG141" s="156">
        <f t="shared" si="102"/>
        <v>7.6136310629685205E-2</v>
      </c>
      <c r="BH141" s="67"/>
      <c r="BI141" s="183"/>
      <c r="BJ141" s="67"/>
      <c r="BK141" s="67">
        <f t="shared" si="107"/>
        <v>5951509</v>
      </c>
      <c r="BL141" s="67"/>
      <c r="BM141" s="156">
        <f t="shared" si="108"/>
        <v>7.7994505259086397E-2</v>
      </c>
      <c r="BN141" s="66">
        <f t="shared" si="103"/>
        <v>429427.11363636365</v>
      </c>
      <c r="BO141" s="67"/>
      <c r="BP141" s="67">
        <f t="shared" si="104"/>
        <v>4285440</v>
      </c>
      <c r="BQ141" s="67"/>
      <c r="BR141" s="478">
        <f t="shared" si="105"/>
        <v>7.5601780871587212E-2</v>
      </c>
      <c r="BS141" s="67"/>
      <c r="BT141" s="86"/>
      <c r="BU141" s="183"/>
      <c r="BV141" s="1"/>
      <c r="BW141" s="61">
        <f t="shared" si="53"/>
        <v>132</v>
      </c>
    </row>
    <row r="142" spans="1:75" x14ac:dyDescent="0.3">
      <c r="A142" s="61"/>
      <c r="B142" s="171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4640531</v>
      </c>
      <c r="I142" s="16"/>
      <c r="J142" s="479">
        <f t="shared" si="90"/>
        <v>1.4997718703698763E-2</v>
      </c>
      <c r="K142" s="16"/>
      <c r="L142" s="16"/>
      <c r="M142" s="16"/>
      <c r="N142" s="16"/>
      <c r="O142" s="16">
        <f t="shared" si="91"/>
        <v>34891.210526315786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155894</v>
      </c>
      <c r="AB142" s="33"/>
      <c r="AC142" s="46">
        <f t="shared" si="94"/>
        <v>3.3594000341771235E-2</v>
      </c>
      <c r="AD142" s="33"/>
      <c r="AE142" s="33">
        <f t="shared" si="95"/>
        <v>1172.1353383458647</v>
      </c>
      <c r="AF142" s="50"/>
      <c r="AG142" s="33"/>
      <c r="AH142" s="33"/>
      <c r="AI142" s="231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504">
        <f t="shared" si="97"/>
        <v>1.7781834119954886E-2</v>
      </c>
      <c r="AS142" s="25"/>
      <c r="AT142" s="25"/>
      <c r="AU142" s="24"/>
      <c r="AV142" s="341">
        <f t="shared" si="98"/>
        <v>0.49239300416267018</v>
      </c>
      <c r="AW142" s="341"/>
      <c r="AX142" s="24">
        <f t="shared" si="99"/>
        <v>17180.187969924813</v>
      </c>
      <c r="AY142" s="351"/>
      <c r="AZ142" s="10"/>
      <c r="BA142" s="66">
        <f t="shared" si="100"/>
        <v>836765</v>
      </c>
      <c r="BB142" s="67"/>
      <c r="BC142" s="67">
        <v>57521144</v>
      </c>
      <c r="BD142" s="67"/>
      <c r="BE142" s="67">
        <f t="shared" si="101"/>
        <v>68569</v>
      </c>
      <c r="BF142" s="67"/>
      <c r="BG142" s="156">
        <f t="shared" si="102"/>
        <v>8.1945349052601382E-2</v>
      </c>
      <c r="BH142" s="67"/>
      <c r="BI142" s="183"/>
      <c r="BJ142" s="67"/>
      <c r="BK142" s="67">
        <f t="shared" si="107"/>
        <v>5968969</v>
      </c>
      <c r="BL142" s="67"/>
      <c r="BM142" s="156">
        <f t="shared" si="108"/>
        <v>7.7619937379470386E-2</v>
      </c>
      <c r="BN142" s="66">
        <f t="shared" si="103"/>
        <v>432489.80451127817</v>
      </c>
      <c r="BO142" s="67"/>
      <c r="BP142" s="67">
        <f t="shared" si="104"/>
        <v>4354009</v>
      </c>
      <c r="BQ142" s="67"/>
      <c r="BR142" s="478">
        <f t="shared" si="105"/>
        <v>7.5694061300310714E-2</v>
      </c>
      <c r="BS142" s="67"/>
      <c r="BT142" s="86"/>
      <c r="BU142" s="183"/>
      <c r="BV142" s="1"/>
      <c r="BW142" s="61">
        <f t="shared" si="53"/>
        <v>133</v>
      </c>
    </row>
    <row r="143" spans="1:75" x14ac:dyDescent="0.3">
      <c r="A143" s="61"/>
      <c r="B143" s="171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4711614</v>
      </c>
      <c r="I143" s="16"/>
      <c r="J143" s="479">
        <f t="shared" si="90"/>
        <v>1.531785909845231E-2</v>
      </c>
      <c r="K143" s="16"/>
      <c r="L143" s="16"/>
      <c r="M143" s="16"/>
      <c r="N143" s="16"/>
      <c r="O143" s="16">
        <f t="shared" si="91"/>
        <v>35161.298507462685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157356</v>
      </c>
      <c r="AB143" s="33"/>
      <c r="AC143" s="46">
        <f t="shared" si="94"/>
        <v>3.3397472713172172E-2</v>
      </c>
      <c r="AD143" s="33"/>
      <c r="AE143" s="33">
        <f t="shared" si="95"/>
        <v>1174.2985074626865</v>
      </c>
      <c r="AF143" s="50"/>
      <c r="AG143" s="33">
        <f>SUM(W113:W143)</f>
        <v>25901</v>
      </c>
      <c r="AH143" s="33"/>
      <c r="AI143" s="231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504">
        <f t="shared" si="97"/>
        <v>1.8646675113185542E-2</v>
      </c>
      <c r="AS143" s="25"/>
      <c r="AT143" s="25"/>
      <c r="AU143" s="24"/>
      <c r="AV143" s="341">
        <f t="shared" si="98"/>
        <v>0.4940073613840183</v>
      </c>
      <c r="AW143" s="341"/>
      <c r="AX143" s="24">
        <f t="shared" si="99"/>
        <v>17369.940298507463</v>
      </c>
      <c r="AY143" s="351"/>
      <c r="AZ143" s="10"/>
      <c r="BA143" s="66">
        <f t="shared" si="100"/>
        <v>972569</v>
      </c>
      <c r="BB143" s="67"/>
      <c r="BC143" s="67">
        <v>58493713</v>
      </c>
      <c r="BD143" s="67"/>
      <c r="BE143" s="67">
        <f t="shared" si="101"/>
        <v>71083</v>
      </c>
      <c r="BF143" s="67"/>
      <c r="BG143" s="156">
        <f t="shared" si="102"/>
        <v>7.3087873456793295E-2</v>
      </c>
      <c r="BH143" s="67"/>
      <c r="BI143" s="183"/>
      <c r="BJ143" s="67"/>
      <c r="BK143" s="67">
        <f t="shared" si="107"/>
        <v>5973287</v>
      </c>
      <c r="BL143" s="67"/>
      <c r="BM143" s="156">
        <f t="shared" si="108"/>
        <v>7.6409521256889212E-2</v>
      </c>
      <c r="BN143" s="66">
        <f t="shared" si="103"/>
        <v>436520.24626865675</v>
      </c>
      <c r="BO143" s="67"/>
      <c r="BP143" s="67">
        <f t="shared" si="104"/>
        <v>4425092</v>
      </c>
      <c r="BQ143" s="67"/>
      <c r="BR143" s="478">
        <f t="shared" si="105"/>
        <v>7.5650728480853996E-2</v>
      </c>
      <c r="BS143" s="67"/>
      <c r="BT143" s="86"/>
      <c r="BU143" s="183"/>
      <c r="BV143" s="1"/>
      <c r="BW143" s="61">
        <f t="shared" si="53"/>
        <v>134</v>
      </c>
    </row>
    <row r="144" spans="1:75" x14ac:dyDescent="0.3">
      <c r="A144" s="61"/>
      <c r="B144" s="171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4770155</v>
      </c>
      <c r="I144" s="16"/>
      <c r="J144" s="479">
        <f t="shared" si="90"/>
        <v>1.2424829368449962E-2</v>
      </c>
      <c r="K144" s="16"/>
      <c r="L144" s="16"/>
      <c r="M144" s="16"/>
      <c r="N144" s="16"/>
      <c r="O144" s="16">
        <f t="shared" si="91"/>
        <v>35334.481481481482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158479</v>
      </c>
      <c r="AB144" s="33"/>
      <c r="AC144" s="46">
        <f t="shared" si="94"/>
        <v>3.3223029440343131E-2</v>
      </c>
      <c r="AD144" s="33"/>
      <c r="AE144" s="33">
        <f t="shared" si="95"/>
        <v>1173.9185185185186</v>
      </c>
      <c r="AF144" s="50"/>
      <c r="AG144" s="33"/>
      <c r="AH144" s="33"/>
      <c r="AI144" s="231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504">
        <f t="shared" si="97"/>
        <v>1.5179337094620488E-2</v>
      </c>
      <c r="AS144" s="25"/>
      <c r="AT144" s="25"/>
      <c r="AU144" s="24"/>
      <c r="AV144" s="341">
        <f t="shared" si="98"/>
        <v>0.49535140891648177</v>
      </c>
      <c r="AW144" s="341"/>
      <c r="AX144" s="24">
        <f t="shared" si="99"/>
        <v>17502.985185185185</v>
      </c>
      <c r="AY144" s="351"/>
      <c r="AZ144" s="10"/>
      <c r="BA144" s="66">
        <f t="shared" si="100"/>
        <v>733196</v>
      </c>
      <c r="BB144" s="67"/>
      <c r="BC144" s="67">
        <v>59226909</v>
      </c>
      <c r="BD144" s="67"/>
      <c r="BE144" s="67">
        <f t="shared" si="101"/>
        <v>58541</v>
      </c>
      <c r="BF144" s="67"/>
      <c r="BG144" s="156">
        <f t="shared" si="102"/>
        <v>7.984358889028309E-2</v>
      </c>
      <c r="BH144" s="67"/>
      <c r="BI144" s="183"/>
      <c r="BJ144" s="67"/>
      <c r="BK144" s="67">
        <f t="shared" si="107"/>
        <v>5874659</v>
      </c>
      <c r="BL144" s="67"/>
      <c r="BM144" s="156">
        <f t="shared" si="108"/>
        <v>7.6182123932640178E-2</v>
      </c>
      <c r="BN144" s="66">
        <f t="shared" si="103"/>
        <v>438717.84444444446</v>
      </c>
      <c r="BO144" s="67"/>
      <c r="BP144" s="67">
        <f t="shared" si="104"/>
        <v>4483633</v>
      </c>
      <c r="BQ144" s="67"/>
      <c r="BR144" s="478">
        <f t="shared" si="105"/>
        <v>7.5702633747103024E-2</v>
      </c>
      <c r="BS144" s="67"/>
      <c r="BT144" s="86"/>
      <c r="BU144" s="183"/>
      <c r="BV144" s="1"/>
      <c r="BW144" s="61">
        <f t="shared" si="53"/>
        <v>135</v>
      </c>
    </row>
    <row r="145" spans="1:75" x14ac:dyDescent="0.3">
      <c r="B145" s="390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4819193</v>
      </c>
      <c r="I145" s="16"/>
      <c r="J145" s="479">
        <f t="shared" si="90"/>
        <v>1.0280169093037857E-2</v>
      </c>
      <c r="K145" s="16"/>
      <c r="L145" s="16"/>
      <c r="M145" s="16"/>
      <c r="N145" s="16">
        <f>SUM(D139:D145)</f>
        <v>440452</v>
      </c>
      <c r="O145" s="16">
        <f t="shared" si="91"/>
        <v>35435.242647058825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91">
        <f t="shared" si="109"/>
        <v>37</v>
      </c>
      <c r="W145" s="34">
        <v>467</v>
      </c>
      <c r="X145" s="33"/>
      <c r="Y145" s="33"/>
      <c r="Z145" s="33"/>
      <c r="AA145" s="33">
        <f t="shared" si="93"/>
        <v>158946</v>
      </c>
      <c r="AB145" s="33"/>
      <c r="AC145" s="46">
        <f t="shared" si="94"/>
        <v>3.2981870616096927E-2</v>
      </c>
      <c r="AD145" s="33"/>
      <c r="AE145" s="33">
        <f t="shared" si="95"/>
        <v>1168.7205882352941</v>
      </c>
      <c r="AF145" s="50"/>
      <c r="AG145" s="33">
        <f>SUM(W139:W145)</f>
        <v>7843</v>
      </c>
      <c r="AH145" s="33">
        <f>SUM(D116:D203)</f>
        <v>4840024</v>
      </c>
      <c r="AI145" s="231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504">
        <f t="shared" si="97"/>
        <v>7.327427321392372E-3</v>
      </c>
      <c r="AS145" s="25"/>
      <c r="AT145" s="25"/>
      <c r="AU145" s="24"/>
      <c r="AV145" s="341">
        <f t="shared" si="98"/>
        <v>0.49390364735340542</v>
      </c>
      <c r="AW145" s="341"/>
      <c r="AX145" s="24">
        <f t="shared" si="99"/>
        <v>17501.595588235294</v>
      </c>
      <c r="AY145" s="351"/>
      <c r="AZ145" s="10"/>
      <c r="BA145" s="66">
        <f t="shared" si="100"/>
        <v>698375</v>
      </c>
      <c r="BB145" s="67"/>
      <c r="BC145" s="67">
        <v>59925284</v>
      </c>
      <c r="BD145" s="67"/>
      <c r="BE145" s="67">
        <f t="shared" si="101"/>
        <v>49038</v>
      </c>
      <c r="BF145" s="67"/>
      <c r="BG145" s="156">
        <f t="shared" si="102"/>
        <v>7.0217290137819938E-2</v>
      </c>
      <c r="BH145" s="67"/>
      <c r="BI145" s="183"/>
      <c r="BJ145" s="67"/>
      <c r="BK145" s="67">
        <f t="shared" si="107"/>
        <v>5705709</v>
      </c>
      <c r="BL145" s="67"/>
      <c r="BM145" s="156">
        <f t="shared" si="108"/>
        <v>7.7194963851118237E-2</v>
      </c>
      <c r="BN145" s="66">
        <f t="shared" si="103"/>
        <v>440627.0882352941</v>
      </c>
      <c r="BO145" s="67"/>
      <c r="BP145" s="67">
        <f t="shared" si="104"/>
        <v>4532671</v>
      </c>
      <c r="BQ145" s="67"/>
      <c r="BR145" s="478">
        <f t="shared" si="105"/>
        <v>7.5638707027237448E-2</v>
      </c>
      <c r="BS145" s="67"/>
      <c r="BT145" s="86"/>
      <c r="BU145" s="183"/>
      <c r="BV145" s="1"/>
      <c r="BW145" s="61">
        <f t="shared" si="53"/>
        <v>136</v>
      </c>
    </row>
    <row r="146" spans="1:75" x14ac:dyDescent="0.3">
      <c r="A146" s="549"/>
      <c r="B146" s="171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4867839</v>
      </c>
      <c r="I146" s="16"/>
      <c r="J146" s="479">
        <f t="shared" si="90"/>
        <v>1.0094221169394959E-2</v>
      </c>
      <c r="K146" s="16"/>
      <c r="L146" s="16"/>
      <c r="M146" s="16"/>
      <c r="N146" s="16"/>
      <c r="O146" s="16">
        <f t="shared" si="91"/>
        <v>35531.671532846718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159508</v>
      </c>
      <c r="AB146" s="33"/>
      <c r="AC146" s="46">
        <f t="shared" si="94"/>
        <v>3.2767723008094558E-2</v>
      </c>
      <c r="AD146" s="33"/>
      <c r="AE146" s="33">
        <f t="shared" si="95"/>
        <v>1164.2919708029196</v>
      </c>
      <c r="AF146" s="50"/>
      <c r="AG146" s="33"/>
      <c r="AH146" s="33"/>
      <c r="AI146" s="231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504">
        <f t="shared" si="97"/>
        <v>2.7972659635655067E-2</v>
      </c>
      <c r="AS146" s="25"/>
      <c r="AT146" s="25"/>
      <c r="AU146" s="24"/>
      <c r="AV146" s="341">
        <f t="shared" si="98"/>
        <v>0.5026456298164339</v>
      </c>
      <c r="AW146" s="341"/>
      <c r="AX146" s="24">
        <f t="shared" si="99"/>
        <v>17859.839416058396</v>
      </c>
      <c r="AY146" s="351"/>
      <c r="AZ146" s="10"/>
      <c r="BA146" s="66">
        <f t="shared" si="100"/>
        <v>1012257</v>
      </c>
      <c r="BB146" s="67"/>
      <c r="BC146" s="67">
        <v>60937541</v>
      </c>
      <c r="BD146" s="67"/>
      <c r="BE146" s="67">
        <f t="shared" si="101"/>
        <v>48646</v>
      </c>
      <c r="BF146" s="67"/>
      <c r="BG146" s="156">
        <f t="shared" si="102"/>
        <v>4.8056965770550367E-2</v>
      </c>
      <c r="BH146" s="67"/>
      <c r="BI146" s="183"/>
      <c r="BJ146" s="67"/>
      <c r="BK146" s="67">
        <f t="shared" si="107"/>
        <v>5919305</v>
      </c>
      <c r="BL146" s="67"/>
      <c r="BM146" s="156">
        <f t="shared" si="108"/>
        <v>7.2225877869107946E-2</v>
      </c>
      <c r="BN146" s="66">
        <f t="shared" si="103"/>
        <v>444799.56934306567</v>
      </c>
      <c r="BO146" s="67"/>
      <c r="BP146" s="67">
        <f t="shared" si="104"/>
        <v>4581317</v>
      </c>
      <c r="BQ146" s="67"/>
      <c r="BR146" s="478">
        <f t="shared" si="105"/>
        <v>7.5180536083659821E-2</v>
      </c>
      <c r="BS146" s="67"/>
      <c r="BT146" s="86"/>
      <c r="BU146" s="183"/>
      <c r="BV146" s="1"/>
      <c r="BW146" s="61">
        <f t="shared" si="53"/>
        <v>137</v>
      </c>
    </row>
    <row r="147" spans="1:75" x14ac:dyDescent="0.3">
      <c r="B147" s="171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4922403</v>
      </c>
      <c r="I147" s="16"/>
      <c r="J147" s="479">
        <f t="shared" si="90"/>
        <v>1.1209080661870699E-2</v>
      </c>
      <c r="K147" s="16"/>
      <c r="L147" s="16"/>
      <c r="M147" s="16"/>
      <c r="N147" s="16"/>
      <c r="O147" s="16">
        <f t="shared" si="91"/>
        <v>35669.586956521736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160867</v>
      </c>
      <c r="AB147" s="33"/>
      <c r="AC147" s="46">
        <f t="shared" si="94"/>
        <v>3.268058304043777E-2</v>
      </c>
      <c r="AD147" s="33"/>
      <c r="AE147" s="33">
        <f t="shared" si="95"/>
        <v>1165.7028985507247</v>
      </c>
      <c r="AF147" s="50"/>
      <c r="AG147" s="33"/>
      <c r="AH147" s="33"/>
      <c r="AI147" s="231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504">
        <f t="shared" si="97"/>
        <v>1.425618297873384E-2</v>
      </c>
      <c r="AS147" s="25"/>
      <c r="AT147" s="25"/>
      <c r="AU147" s="24"/>
      <c r="AV147" s="341">
        <f t="shared" si="98"/>
        <v>0.50416026481375054</v>
      </c>
      <c r="AW147" s="341"/>
      <c r="AX147" s="24">
        <f t="shared" si="99"/>
        <v>17983.1884057971</v>
      </c>
      <c r="AY147" s="351"/>
      <c r="AZ147" s="10"/>
      <c r="BA147" s="66">
        <f t="shared" si="100"/>
        <v>681496</v>
      </c>
      <c r="BB147" s="67"/>
      <c r="BC147" s="67">
        <v>61619037</v>
      </c>
      <c r="BD147" s="67"/>
      <c r="BE147" s="67">
        <f t="shared" si="101"/>
        <v>54564</v>
      </c>
      <c r="BF147" s="67"/>
      <c r="BG147" s="156">
        <f t="shared" si="102"/>
        <v>8.0065033397114585E-2</v>
      </c>
      <c r="BH147" s="67"/>
      <c r="BI147" s="183"/>
      <c r="BJ147" s="67"/>
      <c r="BK147" s="67">
        <f t="shared" si="107"/>
        <v>5813621</v>
      </c>
      <c r="BL147" s="67"/>
      <c r="BM147" s="156">
        <f t="shared" si="108"/>
        <v>7.1790369547653693E-2</v>
      </c>
      <c r="BN147" s="66">
        <f t="shared" si="103"/>
        <v>446514.76086956525</v>
      </c>
      <c r="BO147" s="67"/>
      <c r="BP147" s="67">
        <f t="shared" si="104"/>
        <v>4635881</v>
      </c>
      <c r="BQ147" s="67"/>
      <c r="BR147" s="478">
        <f t="shared" si="105"/>
        <v>7.5234557787717454E-2</v>
      </c>
      <c r="BS147" s="67"/>
      <c r="BT147" s="86"/>
      <c r="BU147" s="183"/>
      <c r="BV147" s="1"/>
      <c r="BW147" s="61">
        <f t="shared" si="53"/>
        <v>138</v>
      </c>
    </row>
    <row r="148" spans="1:75" x14ac:dyDescent="0.3">
      <c r="B148" s="171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4977551</v>
      </c>
      <c r="I148" s="16"/>
      <c r="J148" s="479">
        <f t="shared" si="90"/>
        <v>1.1203471150167916E-2</v>
      </c>
      <c r="K148" s="16"/>
      <c r="L148" s="16"/>
      <c r="M148" s="16"/>
      <c r="N148" s="16"/>
      <c r="O148" s="16">
        <f t="shared" si="91"/>
        <v>35809.719424460432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162186</v>
      </c>
      <c r="AB148" s="33"/>
      <c r="AC148" s="46">
        <f t="shared" si="94"/>
        <v>3.2583493368526006E-2</v>
      </c>
      <c r="AD148" s="33"/>
      <c r="AE148" s="33">
        <f t="shared" si="95"/>
        <v>1166.8057553956835</v>
      </c>
      <c r="AF148" s="50"/>
      <c r="AG148" s="33"/>
      <c r="AH148" s="33"/>
      <c r="AI148" s="231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504">
        <f t="shared" si="97"/>
        <v>2.3555414074336738E-2</v>
      </c>
      <c r="AS148" s="25"/>
      <c r="AT148" s="25"/>
      <c r="AU148" s="24"/>
      <c r="AV148" s="341">
        <f t="shared" si="98"/>
        <v>0.51031862857859212</v>
      </c>
      <c r="AW148" s="341"/>
      <c r="AX148" s="24">
        <f t="shared" si="99"/>
        <v>18274.366906474821</v>
      </c>
      <c r="AY148" s="351"/>
      <c r="AZ148" s="10"/>
      <c r="BA148" s="66">
        <f t="shared" si="100"/>
        <v>762258</v>
      </c>
      <c r="BB148" s="67"/>
      <c r="BC148" s="67">
        <v>62381295</v>
      </c>
      <c r="BD148" s="67"/>
      <c r="BE148" s="67">
        <f t="shared" si="101"/>
        <v>55148</v>
      </c>
      <c r="BF148" s="67"/>
      <c r="BG148" s="156">
        <f t="shared" si="102"/>
        <v>7.2348207562268937E-2</v>
      </c>
      <c r="BH148" s="67"/>
      <c r="BI148" s="183"/>
      <c r="BJ148" s="67"/>
      <c r="BK148" s="67">
        <f t="shared" si="107"/>
        <v>5696916</v>
      </c>
      <c r="BL148" s="67"/>
      <c r="BM148" s="156">
        <f t="shared" si="108"/>
        <v>7.1194484875676589E-2</v>
      </c>
      <c r="BN148" s="66">
        <f t="shared" si="103"/>
        <v>448786.29496402876</v>
      </c>
      <c r="BO148" s="67"/>
      <c r="BP148" s="67">
        <f t="shared" si="104"/>
        <v>4691029</v>
      </c>
      <c r="BQ148" s="67"/>
      <c r="BR148" s="478">
        <f t="shared" si="105"/>
        <v>7.5199288504671155E-2</v>
      </c>
      <c r="BS148" s="67"/>
      <c r="BT148" s="86"/>
      <c r="BU148" s="183"/>
      <c r="BV148" s="1"/>
      <c r="BW148" s="61">
        <f t="shared" si="53"/>
        <v>139</v>
      </c>
    </row>
    <row r="149" spans="1:75" x14ac:dyDescent="0.3">
      <c r="B149" s="171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5036261</v>
      </c>
      <c r="I149" s="16"/>
      <c r="J149" s="479">
        <f t="shared" si="90"/>
        <v>1.1794956997929302E-2</v>
      </c>
      <c r="K149" s="16"/>
      <c r="L149" s="16"/>
      <c r="M149" s="16"/>
      <c r="N149" s="16"/>
      <c r="O149" s="16">
        <f t="shared" si="91"/>
        <v>35973.292857142857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163389</v>
      </c>
      <c r="AB149" s="33"/>
      <c r="AC149" s="46">
        <f t="shared" si="94"/>
        <v>3.2442520353889524E-2</v>
      </c>
      <c r="AD149" s="33"/>
      <c r="AE149" s="33">
        <f t="shared" si="95"/>
        <v>1167.0642857142857</v>
      </c>
      <c r="AF149" s="50"/>
      <c r="AG149" s="33"/>
      <c r="AH149" s="33"/>
      <c r="AI149" s="231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504">
        <f t="shared" si="97"/>
        <v>1.0154964082645936E-2</v>
      </c>
      <c r="AS149" s="25"/>
      <c r="AT149" s="25"/>
      <c r="AU149" s="24"/>
      <c r="AV149" s="341">
        <f t="shared" si="98"/>
        <v>0.50949146599034478</v>
      </c>
      <c r="AW149" s="341"/>
      <c r="AX149" s="24">
        <f t="shared" si="99"/>
        <v>18328.085714285713</v>
      </c>
      <c r="AY149" s="351"/>
      <c r="AZ149" s="10"/>
      <c r="BA149" s="66">
        <f t="shared" si="100"/>
        <v>764126</v>
      </c>
      <c r="BB149" s="67"/>
      <c r="BC149" s="67">
        <f>63896457-751036</f>
        <v>63145421</v>
      </c>
      <c r="BD149" s="67"/>
      <c r="BE149" s="67">
        <f t="shared" si="101"/>
        <v>58710</v>
      </c>
      <c r="BF149" s="67"/>
      <c r="BG149" s="156">
        <f t="shared" si="102"/>
        <v>7.6832878347288275E-2</v>
      </c>
      <c r="BH149" s="67"/>
      <c r="BI149" s="183"/>
      <c r="BJ149" s="67"/>
      <c r="BK149" s="67">
        <f t="shared" si="107"/>
        <v>5624277</v>
      </c>
      <c r="BL149" s="67"/>
      <c r="BM149" s="156">
        <f t="shared" si="108"/>
        <v>7.0361043739488649E-2</v>
      </c>
      <c r="BN149" s="66">
        <f t="shared" si="103"/>
        <v>451038.72142857144</v>
      </c>
      <c r="BO149" s="67"/>
      <c r="BP149" s="67">
        <f t="shared" si="104"/>
        <v>4749739</v>
      </c>
      <c r="BQ149" s="67"/>
      <c r="BR149" s="478">
        <f t="shared" si="105"/>
        <v>7.5219056659706171E-2</v>
      </c>
      <c r="BS149" s="67"/>
      <c r="BT149" s="86"/>
      <c r="BU149" s="183"/>
      <c r="BV149" s="1"/>
      <c r="BW149" s="61">
        <f t="shared" si="53"/>
        <v>140</v>
      </c>
    </row>
    <row r="150" spans="1:75" x14ac:dyDescent="0.3">
      <c r="B150" s="171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5099507</v>
      </c>
      <c r="I150" s="16"/>
      <c r="J150" s="479">
        <f t="shared" si="90"/>
        <v>1.2558125958920715E-2</v>
      </c>
      <c r="K150" s="16"/>
      <c r="L150" s="16"/>
      <c r="M150" s="16"/>
      <c r="N150" s="16"/>
      <c r="O150" s="16">
        <f t="shared" si="91"/>
        <v>36166.716312056735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164679</v>
      </c>
      <c r="AB150" s="33"/>
      <c r="AC150" s="46">
        <f t="shared" si="94"/>
        <v>3.2293121668427946E-2</v>
      </c>
      <c r="AD150" s="33"/>
      <c r="AE150" s="33">
        <f t="shared" si="95"/>
        <v>1167.936170212766</v>
      </c>
      <c r="AF150" s="50"/>
      <c r="AG150" s="33"/>
      <c r="AH150" s="33"/>
      <c r="AI150" s="231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504">
        <f t="shared" si="97"/>
        <v>1.9889459268601039E-2</v>
      </c>
      <c r="AS150" s="25"/>
      <c r="AT150" s="25"/>
      <c r="AU150" s="24"/>
      <c r="AV150" s="341">
        <f t="shared" si="98"/>
        <v>0.5131803917515948</v>
      </c>
      <c r="AW150" s="341"/>
      <c r="AX150" s="24">
        <f t="shared" si="99"/>
        <v>18560.049645390071</v>
      </c>
      <c r="AY150" s="351"/>
      <c r="AZ150" s="10"/>
      <c r="BA150" s="66">
        <f t="shared" si="100"/>
        <v>751036</v>
      </c>
      <c r="BB150" s="67"/>
      <c r="BC150" s="67">
        <v>63896457</v>
      </c>
      <c r="BD150" s="67"/>
      <c r="BE150" s="67">
        <f t="shared" si="101"/>
        <v>63246</v>
      </c>
      <c r="BF150" s="67"/>
      <c r="BG150" s="156">
        <f t="shared" si="102"/>
        <v>8.4211675605430372E-2</v>
      </c>
      <c r="BH150" s="67"/>
      <c r="BI150" s="183"/>
      <c r="BJ150" s="67"/>
      <c r="BK150" s="67">
        <f t="shared" si="107"/>
        <v>5402744</v>
      </c>
      <c r="BL150" s="67"/>
      <c r="BM150" s="156">
        <f t="shared" si="108"/>
        <v>7.1795554259095007E-2</v>
      </c>
      <c r="BN150" s="66">
        <f t="shared" si="103"/>
        <v>453166.36170212767</v>
      </c>
      <c r="BO150" s="67"/>
      <c r="BP150" s="67">
        <f t="shared" si="104"/>
        <v>4812985</v>
      </c>
      <c r="BQ150" s="67"/>
      <c r="BR150" s="478">
        <f t="shared" si="105"/>
        <v>7.5324755486833955E-2</v>
      </c>
      <c r="BS150" s="67"/>
      <c r="BT150" s="86"/>
      <c r="BU150" s="183"/>
      <c r="BV150" s="1"/>
      <c r="BW150" s="61">
        <f t="shared" si="53"/>
        <v>141</v>
      </c>
    </row>
    <row r="151" spans="1:75" x14ac:dyDescent="0.3">
      <c r="B151" s="171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5153706</v>
      </c>
      <c r="I151" s="16"/>
      <c r="J151" s="479">
        <f t="shared" si="90"/>
        <v>1.0628282302583367E-2</v>
      </c>
      <c r="K151" s="16"/>
      <c r="L151" s="16"/>
      <c r="M151" s="16"/>
      <c r="N151" s="16"/>
      <c r="O151" s="16">
        <f t="shared" ref="O151:O160" si="110">+H151/BW151</f>
        <v>36293.704225352114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165655</v>
      </c>
      <c r="AB151" s="33"/>
      <c r="AC151" s="46">
        <f t="shared" si="94"/>
        <v>3.2142889020056638E-2</v>
      </c>
      <c r="AD151" s="33"/>
      <c r="AE151" s="33">
        <f t="shared" si="95"/>
        <v>1166.5845070422536</v>
      </c>
      <c r="AF151" s="50"/>
      <c r="AG151" s="33"/>
      <c r="AH151" s="33"/>
      <c r="AI151" s="231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504">
        <f t="shared" si="97"/>
        <v>8.2167639102824E-3</v>
      </c>
      <c r="AS151" s="25"/>
      <c r="AT151" s="25"/>
      <c r="AU151" s="24"/>
      <c r="AV151" s="341">
        <f t="shared" si="98"/>
        <v>0.51195586244151292</v>
      </c>
      <c r="AW151" s="341"/>
      <c r="AX151" s="24">
        <f t="shared" si="99"/>
        <v>18580.774647887323</v>
      </c>
      <c r="AY151" s="351"/>
      <c r="AZ151" s="10"/>
      <c r="BA151" s="66">
        <f t="shared" si="100"/>
        <v>714090</v>
      </c>
      <c r="BB151" s="67"/>
      <c r="BC151" s="67">
        <v>64610547</v>
      </c>
      <c r="BD151" s="67"/>
      <c r="BE151" s="67">
        <f t="shared" si="101"/>
        <v>54199</v>
      </c>
      <c r="BF151" s="67"/>
      <c r="BG151" s="156">
        <f t="shared" si="102"/>
        <v>7.5899396434623081E-2</v>
      </c>
      <c r="BH151" s="67"/>
      <c r="BI151" s="183"/>
      <c r="BJ151" s="67"/>
      <c r="BK151" s="67">
        <f t="shared" si="107"/>
        <v>5383638</v>
      </c>
      <c r="BL151" s="67"/>
      <c r="BM151" s="156">
        <f t="shared" si="108"/>
        <v>7.1243831773235872E-2</v>
      </c>
      <c r="BN151" s="66">
        <f t="shared" si="103"/>
        <v>455003.85211267608</v>
      </c>
      <c r="BO151" s="67"/>
      <c r="BP151" s="67">
        <f t="shared" si="104"/>
        <v>4867184</v>
      </c>
      <c r="BQ151" s="67"/>
      <c r="BR151" s="478">
        <f t="shared" si="105"/>
        <v>7.5331106545189902E-2</v>
      </c>
      <c r="BS151" s="67"/>
      <c r="BT151" s="86"/>
      <c r="BU151" s="183"/>
      <c r="BV151" s="1"/>
      <c r="BW151" s="61">
        <f t="shared" si="53"/>
        <v>142</v>
      </c>
    </row>
    <row r="152" spans="1:75" x14ac:dyDescent="0.3">
      <c r="B152" s="390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5201555</v>
      </c>
      <c r="I152" s="16"/>
      <c r="J152" s="479">
        <f t="shared" si="90"/>
        <v>9.2843868082502189E-3</v>
      </c>
      <c r="K152" s="16"/>
      <c r="L152" s="16"/>
      <c r="M152" s="16"/>
      <c r="N152" s="16">
        <f>SUM(D146:D152)</f>
        <v>382362</v>
      </c>
      <c r="O152" s="16">
        <f t="shared" si="110"/>
        <v>36374.510489510489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91">
        <f t="shared" si="109"/>
        <v>44</v>
      </c>
      <c r="W152" s="34">
        <v>534</v>
      </c>
      <c r="X152" s="33"/>
      <c r="Y152" s="33"/>
      <c r="Z152" s="33"/>
      <c r="AA152" s="33">
        <f t="shared" si="93"/>
        <v>166189</v>
      </c>
      <c r="AB152" s="33"/>
      <c r="AC152" s="46">
        <f t="shared" si="94"/>
        <v>3.1949868837299618E-2</v>
      </c>
      <c r="AD152" s="33"/>
      <c r="AE152" s="33">
        <f t="shared" si="95"/>
        <v>1162.1608391608393</v>
      </c>
      <c r="AF152" s="50"/>
      <c r="AG152" s="33">
        <f t="shared" ref="AG152:AG164" si="111">SUM(W146:W152)</f>
        <v>7243</v>
      </c>
      <c r="AH152" s="33">
        <f t="shared" ref="AH152:AH182" si="112">SUM(D123:D210)</f>
        <v>4477154.0049000001</v>
      </c>
      <c r="AI152" s="231">
        <f t="shared" ref="AI152:AI164" si="113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504">
        <f t="shared" si="97"/>
        <v>9.9417465425038001E-3</v>
      </c>
      <c r="AS152" s="25"/>
      <c r="AT152" s="25"/>
      <c r="AU152" s="24"/>
      <c r="AV152" s="341">
        <f t="shared" si="98"/>
        <v>0.51228930579413268</v>
      </c>
      <c r="AW152" s="341"/>
      <c r="AX152" s="24">
        <f t="shared" si="99"/>
        <v>18634.272727272728</v>
      </c>
      <c r="AY152" s="351"/>
      <c r="AZ152" s="10"/>
      <c r="BA152" s="66">
        <f t="shared" si="100"/>
        <v>822704</v>
      </c>
      <c r="BB152" s="67"/>
      <c r="BC152" s="67">
        <v>65433251</v>
      </c>
      <c r="BD152" s="67"/>
      <c r="BE152" s="67">
        <f t="shared" si="101"/>
        <v>47849</v>
      </c>
      <c r="BF152" s="67"/>
      <c r="BG152" s="156">
        <f t="shared" si="102"/>
        <v>5.8160650732219606E-2</v>
      </c>
      <c r="BH152" s="67"/>
      <c r="BI152" s="183"/>
      <c r="BJ152" s="67"/>
      <c r="BK152" s="67">
        <f t="shared" si="107"/>
        <v>5507967</v>
      </c>
      <c r="BL152" s="67"/>
      <c r="BM152" s="156">
        <f t="shared" si="108"/>
        <v>6.9419805892083228E-2</v>
      </c>
      <c r="BN152" s="66">
        <f t="shared" si="103"/>
        <v>457575.18181818182</v>
      </c>
      <c r="BO152" s="67"/>
      <c r="BP152" s="67">
        <f t="shared" si="104"/>
        <v>4915033</v>
      </c>
      <c r="BQ152" s="67"/>
      <c r="BR152" s="478">
        <f t="shared" si="105"/>
        <v>7.511521932480475E-2</v>
      </c>
      <c r="BS152" s="67"/>
      <c r="BT152" s="86"/>
      <c r="BU152" s="183"/>
      <c r="BV152" s="1"/>
      <c r="BW152" s="61">
        <f t="shared" si="53"/>
        <v>143</v>
      </c>
    </row>
    <row r="153" spans="1:75" x14ac:dyDescent="0.3">
      <c r="A153" s="548"/>
      <c r="B153" s="171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5251355</v>
      </c>
      <c r="I153" s="16"/>
      <c r="J153" s="479">
        <f t="shared" si="90"/>
        <v>9.5740600647306433E-3</v>
      </c>
      <c r="K153" s="16"/>
      <c r="L153" s="16"/>
      <c r="M153" s="16"/>
      <c r="N153" s="16"/>
      <c r="O153" s="16">
        <f t="shared" si="110"/>
        <v>36467.743055555555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166758</v>
      </c>
      <c r="AB153" s="33"/>
      <c r="AC153" s="46">
        <f t="shared" si="94"/>
        <v>3.1755232697084849E-2</v>
      </c>
      <c r="AD153" s="33"/>
      <c r="AE153" s="33">
        <f t="shared" si="95"/>
        <v>1158.0416666666667</v>
      </c>
      <c r="AF153" s="50"/>
      <c r="AG153" s="33">
        <f t="shared" si="111"/>
        <v>7250</v>
      </c>
      <c r="AH153" s="33">
        <f t="shared" si="112"/>
        <v>4415435.0049000001</v>
      </c>
      <c r="AI153" s="231" t="e">
        <f t="shared" si="113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504">
        <f t="shared" si="97"/>
        <v>1.9226547368729176E-2</v>
      </c>
      <c r="AS153" s="25"/>
      <c r="AT153" s="25"/>
      <c r="AU153" s="24"/>
      <c r="AV153" s="341">
        <f t="shared" si="98"/>
        <v>0.51718727833102118</v>
      </c>
      <c r="AW153" s="341"/>
      <c r="AX153" s="24">
        <f t="shared" si="99"/>
        <v>18860.652777777777</v>
      </c>
      <c r="AY153" s="351"/>
      <c r="AZ153" s="10"/>
      <c r="BA153" s="66">
        <f t="shared" si="100"/>
        <v>745364</v>
      </c>
      <c r="BB153" s="67"/>
      <c r="BC153" s="67">
        <v>66178615</v>
      </c>
      <c r="BD153" s="67"/>
      <c r="BE153" s="67">
        <f t="shared" si="101"/>
        <v>49800</v>
      </c>
      <c r="BF153" s="67"/>
      <c r="BG153" s="156">
        <f t="shared" si="102"/>
        <v>6.6812993383098734E-2</v>
      </c>
      <c r="BH153" s="67"/>
      <c r="BI153" s="183"/>
      <c r="BJ153" s="67"/>
      <c r="BK153" s="67">
        <f t="shared" si="107"/>
        <v>5241074</v>
      </c>
      <c r="BL153" s="67"/>
      <c r="BM153" s="156">
        <f t="shared" si="108"/>
        <v>7.3175078237781035E-2</v>
      </c>
      <c r="BN153" s="66">
        <f t="shared" si="103"/>
        <v>459573.71527777775</v>
      </c>
      <c r="BO153" s="67"/>
      <c r="BP153" s="67">
        <f t="shared" si="104"/>
        <v>4964833</v>
      </c>
      <c r="BQ153" s="67"/>
      <c r="BR153" s="478">
        <f t="shared" si="105"/>
        <v>7.5021712074210073E-2</v>
      </c>
      <c r="BS153" s="67"/>
      <c r="BT153" s="86"/>
      <c r="BU153" s="183"/>
      <c r="BV153" s="1"/>
      <c r="BW153" s="61">
        <f t="shared" si="53"/>
        <v>144</v>
      </c>
    </row>
    <row r="154" spans="1:75" x14ac:dyDescent="0.3">
      <c r="B154" s="171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5305874</v>
      </c>
      <c r="I154" s="16"/>
      <c r="J154" s="479">
        <f t="shared" si="90"/>
        <v>1.0381891911706598E-2</v>
      </c>
      <c r="K154" s="16"/>
      <c r="L154" s="16"/>
      <c r="M154" s="16"/>
      <c r="N154" s="16"/>
      <c r="O154" s="16">
        <f t="shared" si="110"/>
        <v>36592.23448275862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168262</v>
      </c>
      <c r="AB154" s="33"/>
      <c r="AC154" s="46">
        <f t="shared" si="94"/>
        <v>3.1712400256772022E-2</v>
      </c>
      <c r="AD154" s="33"/>
      <c r="AE154" s="33">
        <f t="shared" si="95"/>
        <v>1160.4275862068966</v>
      </c>
      <c r="AF154" s="50"/>
      <c r="AG154" s="33">
        <f t="shared" si="111"/>
        <v>7395</v>
      </c>
      <c r="AH154" s="33">
        <f t="shared" si="112"/>
        <v>4357086.0049000001</v>
      </c>
      <c r="AI154" s="231" t="e">
        <f t="shared" si="113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504">
        <f t="shared" si="97"/>
        <v>1.4512134683685245E-2</v>
      </c>
      <c r="AS154" s="25"/>
      <c r="AT154" s="25"/>
      <c r="AU154" s="24"/>
      <c r="AV154" s="341">
        <f t="shared" si="98"/>
        <v>0.51930143836811804</v>
      </c>
      <c r="AW154" s="341"/>
      <c r="AX154" s="24">
        <f t="shared" si="99"/>
        <v>19002.400000000001</v>
      </c>
      <c r="AY154" s="351"/>
      <c r="AZ154" s="10"/>
      <c r="BA154" s="66">
        <f t="shared" si="100"/>
        <v>763742</v>
      </c>
      <c r="BB154" s="67"/>
      <c r="BC154" s="67">
        <v>66942357</v>
      </c>
      <c r="BD154" s="67"/>
      <c r="BE154" s="67">
        <f t="shared" si="101"/>
        <v>54519</v>
      </c>
      <c r="BF154" s="67"/>
      <c r="BG154" s="156">
        <f t="shared" si="102"/>
        <v>7.1384053777322709E-2</v>
      </c>
      <c r="BH154" s="67"/>
      <c r="BI154" s="183"/>
      <c r="BJ154" s="67"/>
      <c r="BK154" s="67">
        <f t="shared" si="107"/>
        <v>5323320</v>
      </c>
      <c r="BL154" s="67"/>
      <c r="BM154" s="156">
        <f t="shared" si="108"/>
        <v>7.2036060203031188E-2</v>
      </c>
      <c r="BN154" s="66">
        <f t="shared" si="103"/>
        <v>461671.42758620688</v>
      </c>
      <c r="BO154" s="67"/>
      <c r="BP154" s="67">
        <f t="shared" si="104"/>
        <v>5019352</v>
      </c>
      <c r="BQ154" s="67"/>
      <c r="BR154" s="478">
        <f t="shared" si="105"/>
        <v>7.4980210212795467E-2</v>
      </c>
      <c r="BS154" s="67"/>
      <c r="BT154" s="86"/>
      <c r="BU154" s="183"/>
      <c r="BV154" s="1"/>
      <c r="BW154" s="61">
        <f t="shared" si="53"/>
        <v>145</v>
      </c>
    </row>
    <row r="155" spans="1:75" x14ac:dyDescent="0.3">
      <c r="B155" s="171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5360219</v>
      </c>
      <c r="I155" s="16"/>
      <c r="J155" s="479">
        <f t="shared" si="90"/>
        <v>1.0242421889400314E-2</v>
      </c>
      <c r="K155" s="16"/>
      <c r="L155" s="16"/>
      <c r="M155" s="16"/>
      <c r="N155" s="16"/>
      <c r="O155" s="16">
        <f t="shared" si="110"/>
        <v>36713.82876712329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169648</v>
      </c>
      <c r="AB155" s="33"/>
      <c r="AC155" s="46">
        <f t="shared" si="94"/>
        <v>3.1649453128687464E-2</v>
      </c>
      <c r="AD155" s="33"/>
      <c r="AE155" s="33">
        <f t="shared" si="95"/>
        <v>1161.972602739726</v>
      </c>
      <c r="AF155" s="50"/>
      <c r="AG155" s="33">
        <f t="shared" si="111"/>
        <v>7462</v>
      </c>
      <c r="AH155" s="33">
        <f t="shared" si="112"/>
        <v>4291598.0049000001</v>
      </c>
      <c r="AI155" s="231" t="e">
        <f t="shared" si="113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504">
        <f t="shared" si="97"/>
        <v>2.0779589365844169E-2</v>
      </c>
      <c r="AS155" s="25"/>
      <c r="AT155" s="25"/>
      <c r="AU155" s="24"/>
      <c r="AV155" s="341">
        <f t="shared" si="98"/>
        <v>0.52471792663695271</v>
      </c>
      <c r="AW155" s="341"/>
      <c r="AX155" s="24">
        <f t="shared" si="99"/>
        <v>19264.404109589042</v>
      </c>
      <c r="AY155" s="351"/>
      <c r="AZ155" s="10"/>
      <c r="BA155" s="66">
        <f t="shared" si="100"/>
        <v>608804</v>
      </c>
      <c r="BB155" s="67"/>
      <c r="BC155" s="67">
        <v>67551161</v>
      </c>
      <c r="BD155" s="67"/>
      <c r="BE155" s="67">
        <f t="shared" si="101"/>
        <v>54345</v>
      </c>
      <c r="BF155" s="67"/>
      <c r="BG155" s="156">
        <f t="shared" si="102"/>
        <v>8.9265182226135179E-2</v>
      </c>
      <c r="BH155" s="67"/>
      <c r="BI155" s="183"/>
      <c r="BJ155" s="67"/>
      <c r="BK155" s="67">
        <f t="shared" si="107"/>
        <v>5169866</v>
      </c>
      <c r="BL155" s="67"/>
      <c r="BM155" s="156">
        <f t="shared" si="108"/>
        <v>7.401893975588536E-2</v>
      </c>
      <c r="BN155" s="66">
        <f t="shared" si="103"/>
        <v>462679.18493150687</v>
      </c>
      <c r="BO155" s="67"/>
      <c r="BP155" s="67">
        <f t="shared" si="104"/>
        <v>5073697</v>
      </c>
      <c r="BQ155" s="67"/>
      <c r="BR155" s="478">
        <f t="shared" si="105"/>
        <v>7.510895334574634E-2</v>
      </c>
      <c r="BS155" s="67"/>
      <c r="BT155" s="86"/>
      <c r="BU155" s="183"/>
      <c r="BV155" s="1"/>
      <c r="BW155" s="61">
        <f t="shared" si="53"/>
        <v>146</v>
      </c>
    </row>
    <row r="156" spans="1:75" x14ac:dyDescent="0.3">
      <c r="B156" s="171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5415583</v>
      </c>
      <c r="I156" s="16"/>
      <c r="J156" s="479">
        <f t="shared" si="90"/>
        <v>1.0328682466145506E-2</v>
      </c>
      <c r="K156" s="16"/>
      <c r="L156" s="16"/>
      <c r="M156" s="16"/>
      <c r="N156" s="16"/>
      <c r="O156" s="16">
        <f t="shared" si="110"/>
        <v>36840.700680272108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170932</v>
      </c>
      <c r="AB156" s="33"/>
      <c r="AC156" s="46">
        <f t="shared" si="94"/>
        <v>3.1562991463707599E-2</v>
      </c>
      <c r="AD156" s="33"/>
      <c r="AE156" s="33">
        <f t="shared" si="95"/>
        <v>1162.8027210884354</v>
      </c>
      <c r="AF156" s="50"/>
      <c r="AG156" s="33">
        <f t="shared" si="111"/>
        <v>7543</v>
      </c>
      <c r="AH156" s="33">
        <f t="shared" si="112"/>
        <v>4225550.0049000001</v>
      </c>
      <c r="AI156" s="231" t="e">
        <f t="shared" si="113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504">
        <f t="shared" si="97"/>
        <v>1.0879957107348601E-2</v>
      </c>
      <c r="AS156" s="25"/>
      <c r="AT156" s="25"/>
      <c r="AU156" s="24"/>
      <c r="AV156" s="341">
        <f t="shared" si="98"/>
        <v>0.52500423315458378</v>
      </c>
      <c r="AW156" s="341"/>
      <c r="AX156" s="24">
        <f t="shared" si="99"/>
        <v>19341.523809523809</v>
      </c>
      <c r="AY156" s="351"/>
      <c r="AZ156" s="10"/>
      <c r="BA156" s="66">
        <f t="shared" si="100"/>
        <v>973441</v>
      </c>
      <c r="BB156" s="67"/>
      <c r="BC156" s="67">
        <v>68524602</v>
      </c>
      <c r="BD156" s="67"/>
      <c r="BE156" s="67">
        <f t="shared" si="101"/>
        <v>55364</v>
      </c>
      <c r="BF156" s="67"/>
      <c r="BG156" s="156">
        <f t="shared" si="102"/>
        <v>5.6874530659793456E-2</v>
      </c>
      <c r="BH156" s="67"/>
      <c r="BI156" s="183"/>
      <c r="BJ156" s="67"/>
      <c r="BK156" s="67">
        <f t="shared" si="107"/>
        <v>5379181</v>
      </c>
      <c r="BL156" s="67"/>
      <c r="BM156" s="156">
        <f t="shared" si="108"/>
        <v>7.0516682744083167E-2</v>
      </c>
      <c r="BN156" s="66">
        <f t="shared" si="103"/>
        <v>466153.75510204083</v>
      </c>
      <c r="BO156" s="67"/>
      <c r="BP156" s="67">
        <f t="shared" si="104"/>
        <v>5129061</v>
      </c>
      <c r="BQ156" s="67"/>
      <c r="BR156" s="478">
        <f t="shared" si="105"/>
        <v>7.4849920324965916E-2</v>
      </c>
      <c r="BS156" s="67"/>
      <c r="BT156" s="86"/>
      <c r="BU156" s="183"/>
      <c r="BV156" s="1"/>
      <c r="BW156" s="61">
        <f t="shared" si="53"/>
        <v>147</v>
      </c>
    </row>
    <row r="157" spans="1:75" x14ac:dyDescent="0.3">
      <c r="B157" s="171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5476183</v>
      </c>
      <c r="I157" s="16"/>
      <c r="J157" s="479">
        <f t="shared" si="90"/>
        <v>1.1189930982499945E-2</v>
      </c>
      <c r="K157" s="16"/>
      <c r="L157" s="16"/>
      <c r="M157" s="16"/>
      <c r="N157" s="16"/>
      <c r="O157" s="16">
        <f t="shared" si="110"/>
        <v>37001.236486486487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172052</v>
      </c>
      <c r="AB157" s="33"/>
      <c r="AC157" s="46">
        <f t="shared" si="94"/>
        <v>3.1418234197067553E-2</v>
      </c>
      <c r="AD157" s="33"/>
      <c r="AE157" s="33">
        <f t="shared" si="95"/>
        <v>1162.5135135135135</v>
      </c>
      <c r="AF157" s="50"/>
      <c r="AG157" s="33">
        <f t="shared" si="111"/>
        <v>7373</v>
      </c>
      <c r="AH157" s="33">
        <f t="shared" si="112"/>
        <v>4153555.0049000001</v>
      </c>
      <c r="AI157" s="231" t="e">
        <f t="shared" si="113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504">
        <f t="shared" si="97"/>
        <v>1.1234860389898156E-2</v>
      </c>
      <c r="AS157" s="25"/>
      <c r="AT157" s="25"/>
      <c r="AU157" s="24"/>
      <c r="AV157" s="341">
        <f t="shared" si="98"/>
        <v>0.52502756025501707</v>
      </c>
      <c r="AW157" s="341"/>
      <c r="AX157" s="24">
        <f t="shared" si="99"/>
        <v>19426.66891891892</v>
      </c>
      <c r="AY157" s="351"/>
      <c r="AZ157" s="10"/>
      <c r="BA157" s="66">
        <f t="shared" si="100"/>
        <v>837407</v>
      </c>
      <c r="BB157" s="67"/>
      <c r="BC157" s="67">
        <v>69362009</v>
      </c>
      <c r="BD157" s="67"/>
      <c r="BE157" s="67">
        <f t="shared" si="101"/>
        <v>60600</v>
      </c>
      <c r="BF157" s="67"/>
      <c r="BG157" s="156">
        <f t="shared" si="102"/>
        <v>7.2366244848681704E-2</v>
      </c>
      <c r="BH157" s="67"/>
      <c r="BI157" s="183"/>
      <c r="BJ157" s="67"/>
      <c r="BK157" s="67">
        <f t="shared" si="107"/>
        <v>5465552</v>
      </c>
      <c r="BL157" s="67"/>
      <c r="BM157" s="156">
        <f t="shared" si="108"/>
        <v>6.8918198930318475E-2</v>
      </c>
      <c r="BN157" s="66">
        <f t="shared" si="103"/>
        <v>468662.22297297296</v>
      </c>
      <c r="BO157" s="67"/>
      <c r="BP157" s="67">
        <f t="shared" si="104"/>
        <v>5189661</v>
      </c>
      <c r="BQ157" s="67"/>
      <c r="BR157" s="478">
        <f t="shared" si="105"/>
        <v>7.481993493008543E-2</v>
      </c>
      <c r="BS157" s="67"/>
      <c r="BT157" s="86"/>
      <c r="BU157" s="183"/>
      <c r="BV157" s="1"/>
      <c r="BW157" s="61">
        <f t="shared" si="53"/>
        <v>148</v>
      </c>
    </row>
    <row r="158" spans="1:75" x14ac:dyDescent="0.3">
      <c r="B158" s="171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5529706</v>
      </c>
      <c r="I158" s="16"/>
      <c r="J158" s="479">
        <f t="shared" si="90"/>
        <v>9.773778560723775E-3</v>
      </c>
      <c r="K158" s="16"/>
      <c r="L158" s="16"/>
      <c r="M158" s="16"/>
      <c r="N158" s="16"/>
      <c r="O158" s="16">
        <f t="shared" si="110"/>
        <v>37112.12080536913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173123</v>
      </c>
      <c r="AB158" s="33"/>
      <c r="AC158" s="46">
        <f t="shared" si="94"/>
        <v>3.130781274809185E-2</v>
      </c>
      <c r="AD158" s="33"/>
      <c r="AE158" s="33">
        <f t="shared" si="95"/>
        <v>1161.8993288590605</v>
      </c>
      <c r="AF158" s="50"/>
      <c r="AG158" s="33">
        <f t="shared" si="111"/>
        <v>7468</v>
      </c>
      <c r="AH158" s="33">
        <f t="shared" si="112"/>
        <v>81080167.004899994</v>
      </c>
      <c r="AI158" s="231" t="e">
        <f t="shared" si="113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504">
        <f t="shared" si="97"/>
        <v>1.0170610407050492E-2</v>
      </c>
      <c r="AS158" s="25"/>
      <c r="AT158" s="25"/>
      <c r="AU158" s="24"/>
      <c r="AV158" s="341">
        <f t="shared" si="98"/>
        <v>0.5252338912774025</v>
      </c>
      <c r="AW158" s="341"/>
      <c r="AX158" s="24">
        <f t="shared" si="99"/>
        <v>19492.543624161073</v>
      </c>
      <c r="AY158" s="351"/>
      <c r="AZ158" s="10"/>
      <c r="BA158" s="66">
        <f t="shared" si="100"/>
        <v>862664</v>
      </c>
      <c r="BB158" s="67"/>
      <c r="BC158" s="67">
        <v>70224673</v>
      </c>
      <c r="BD158" s="67"/>
      <c r="BE158" s="67">
        <f t="shared" si="101"/>
        <v>53523</v>
      </c>
      <c r="BF158" s="67"/>
      <c r="BG158" s="156">
        <f t="shared" si="102"/>
        <v>6.2043854849628592E-2</v>
      </c>
      <c r="BH158" s="67"/>
      <c r="BI158" s="183"/>
      <c r="BJ158" s="67"/>
      <c r="BK158" s="67">
        <f t="shared" si="107"/>
        <v>5614126</v>
      </c>
      <c r="BL158" s="67"/>
      <c r="BM158" s="156">
        <f t="shared" si="108"/>
        <v>6.6973915441156828E-2</v>
      </c>
      <c r="BN158" s="66">
        <f t="shared" si="103"/>
        <v>471306.53020134231</v>
      </c>
      <c r="BO158" s="67"/>
      <c r="BP158" s="67">
        <f t="shared" si="104"/>
        <v>5243184</v>
      </c>
      <c r="BQ158" s="67"/>
      <c r="BR158" s="478">
        <f t="shared" si="105"/>
        <v>7.4662989174759137E-2</v>
      </c>
      <c r="BS158" s="67"/>
      <c r="BT158" s="86"/>
      <c r="BU158" s="183"/>
      <c r="BV158" s="1"/>
      <c r="BW158" s="61">
        <f t="shared" si="53"/>
        <v>149</v>
      </c>
    </row>
    <row r="159" spans="1:75" x14ac:dyDescent="0.3">
      <c r="B159" s="390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5566549</v>
      </c>
      <c r="I159" s="16"/>
      <c r="J159" s="479">
        <f t="shared" si="90"/>
        <v>6.6627412017926449E-3</v>
      </c>
      <c r="K159" s="16"/>
      <c r="L159" s="16"/>
      <c r="M159" s="16"/>
      <c r="N159" s="16">
        <f t="shared" ref="N159:N164" si="114">SUM(D153:D159)</f>
        <v>364994</v>
      </c>
      <c r="O159" s="16">
        <f t="shared" si="110"/>
        <v>37110.326666666668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173645</v>
      </c>
      <c r="AB159" s="33"/>
      <c r="AC159" s="46">
        <f t="shared" si="94"/>
        <v>3.1194371952892177E-2</v>
      </c>
      <c r="AD159" s="33"/>
      <c r="AE159" s="33">
        <f t="shared" si="95"/>
        <v>1157.6333333333334</v>
      </c>
      <c r="AF159" s="50"/>
      <c r="AG159" s="33">
        <f t="shared" si="111"/>
        <v>7456</v>
      </c>
      <c r="AH159" s="33">
        <f t="shared" si="112"/>
        <v>81005180.237528399</v>
      </c>
      <c r="AI159" s="231">
        <f t="shared" si="113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504">
        <f t="shared" si="97"/>
        <v>6.3128596066160557E-3</v>
      </c>
      <c r="AS159" s="25"/>
      <c r="AT159" s="25"/>
      <c r="AU159" s="24"/>
      <c r="AV159" s="341">
        <f t="shared" si="98"/>
        <v>0.52505133791151393</v>
      </c>
      <c r="AW159" s="341"/>
      <c r="AX159" s="24">
        <f t="shared" si="99"/>
        <v>19484.826666666668</v>
      </c>
      <c r="AY159" s="351"/>
      <c r="AZ159" s="10"/>
      <c r="BA159" s="66">
        <f t="shared" si="100"/>
        <v>735957</v>
      </c>
      <c r="BB159" s="67"/>
      <c r="BC159" s="67">
        <v>70960630</v>
      </c>
      <c r="BD159" s="67"/>
      <c r="BE159" s="67">
        <f t="shared" si="101"/>
        <v>36843</v>
      </c>
      <c r="BF159" s="67"/>
      <c r="BG159" s="156">
        <f t="shared" si="102"/>
        <v>5.0061348692926354E-2</v>
      </c>
      <c r="BH159" s="67"/>
      <c r="BI159" s="183"/>
      <c r="BJ159" s="67"/>
      <c r="BK159" s="67">
        <f t="shared" si="107"/>
        <v>5527379</v>
      </c>
      <c r="BL159" s="67"/>
      <c r="BM159" s="156">
        <f t="shared" si="108"/>
        <v>6.603382905351704E-2</v>
      </c>
      <c r="BN159" s="66">
        <f t="shared" si="103"/>
        <v>473070.86666666664</v>
      </c>
      <c r="BO159" s="67"/>
      <c r="BP159" s="67">
        <f t="shared" si="104"/>
        <v>5280027</v>
      </c>
      <c r="BQ159" s="67"/>
      <c r="BR159" s="478">
        <f t="shared" si="105"/>
        <v>7.4407837134478655E-2</v>
      </c>
      <c r="BS159" s="67"/>
      <c r="BT159" s="86"/>
      <c r="BU159" s="183"/>
      <c r="BV159" s="1"/>
      <c r="BW159" s="61">
        <f t="shared" si="53"/>
        <v>150</v>
      </c>
    </row>
    <row r="160" spans="1:75" x14ac:dyDescent="0.3">
      <c r="B160" s="171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5607161</v>
      </c>
      <c r="I160" s="16"/>
      <c r="J160" s="479">
        <f t="shared" si="90"/>
        <v>7.295723077260256E-3</v>
      </c>
      <c r="K160" s="16"/>
      <c r="L160" s="16"/>
      <c r="M160" s="16"/>
      <c r="N160" s="16">
        <f t="shared" si="114"/>
        <v>355806</v>
      </c>
      <c r="O160" s="16">
        <f t="shared" si="110"/>
        <v>37133.51655629139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174234</v>
      </c>
      <c r="AB160" s="33"/>
      <c r="AC160" s="46">
        <f t="shared" si="94"/>
        <v>3.1073479074347963E-2</v>
      </c>
      <c r="AD160" s="33"/>
      <c r="AE160" s="33">
        <f t="shared" si="95"/>
        <v>1153.8675496688741</v>
      </c>
      <c r="AF160" s="50"/>
      <c r="AG160" s="33">
        <f t="shared" si="111"/>
        <v>7476</v>
      </c>
      <c r="AH160" s="33">
        <f t="shared" si="112"/>
        <v>80941921.237528399</v>
      </c>
      <c r="AI160" s="231">
        <f t="shared" si="113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504">
        <f t="shared" si="97"/>
        <v>1.7402601135105469E-2</v>
      </c>
      <c r="AS160" s="25"/>
      <c r="AT160" s="25"/>
      <c r="AU160" s="24"/>
      <c r="AV160" s="341">
        <f t="shared" si="98"/>
        <v>0.53031953246928343</v>
      </c>
      <c r="AW160" s="341"/>
      <c r="AX160" s="24">
        <f t="shared" si="99"/>
        <v>19692.629139072847</v>
      </c>
      <c r="AY160" s="351"/>
      <c r="AZ160" s="10"/>
      <c r="BA160" s="66">
        <f t="shared" si="100"/>
        <v>727151</v>
      </c>
      <c r="BB160" s="67"/>
      <c r="BC160" s="67">
        <v>71687781</v>
      </c>
      <c r="BD160" s="67"/>
      <c r="BE160" s="67">
        <f t="shared" si="101"/>
        <v>40612</v>
      </c>
      <c r="BF160" s="67"/>
      <c r="BG160" s="156">
        <f t="shared" si="102"/>
        <v>5.5850848035689973E-2</v>
      </c>
      <c r="BH160" s="67"/>
      <c r="BI160" s="183"/>
      <c r="BJ160" s="67"/>
      <c r="BK160" s="67">
        <f t="shared" si="107"/>
        <v>5509166</v>
      </c>
      <c r="BL160" s="67"/>
      <c r="BM160" s="156">
        <f t="shared" si="108"/>
        <v>6.4584367216380847E-2</v>
      </c>
      <c r="BN160" s="66">
        <f t="shared" si="103"/>
        <v>474753.51655629138</v>
      </c>
      <c r="BO160" s="67"/>
      <c r="BP160" s="67">
        <f t="shared" si="104"/>
        <v>5320639</v>
      </c>
      <c r="BQ160" s="67"/>
      <c r="BR160" s="478">
        <f t="shared" si="105"/>
        <v>7.4219607941275231E-2</v>
      </c>
      <c r="BS160" s="67"/>
      <c r="BT160" s="86"/>
      <c r="BU160" s="183"/>
      <c r="BV160" s="1"/>
      <c r="BW160" s="61">
        <f t="shared" si="53"/>
        <v>151</v>
      </c>
    </row>
    <row r="161" spans="2:75" x14ac:dyDescent="0.3">
      <c r="B161" s="171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5651160</v>
      </c>
      <c r="I161" s="16"/>
      <c r="J161" s="479">
        <f t="shared" si="90"/>
        <v>7.8469300239461647E-3</v>
      </c>
      <c r="K161" s="16"/>
      <c r="L161" s="16"/>
      <c r="M161" s="16"/>
      <c r="N161" s="16">
        <f t="shared" si="114"/>
        <v>345286</v>
      </c>
      <c r="O161" s="16">
        <f t="shared" ref="O161:O169" si="115">+H161/BW161</f>
        <v>37178.684210526313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175592</v>
      </c>
      <c r="AB161" s="33"/>
      <c r="AC161" s="46">
        <f t="shared" si="94"/>
        <v>3.1071850735070322E-2</v>
      </c>
      <c r="AD161" s="33"/>
      <c r="AE161" s="33">
        <f t="shared" si="95"/>
        <v>1155.2105263157894</v>
      </c>
      <c r="AF161" s="50"/>
      <c r="AG161" s="33">
        <f t="shared" si="111"/>
        <v>7330</v>
      </c>
      <c r="AH161" s="33">
        <f t="shared" si="112"/>
        <v>411876642.23752838</v>
      </c>
      <c r="AI161" s="231">
        <f t="shared" si="113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504">
        <f t="shared" si="97"/>
        <v>1.261473096297502E-2</v>
      </c>
      <c r="AS161" s="25"/>
      <c r="AT161" s="25"/>
      <c r="AU161" s="24"/>
      <c r="AV161" s="341">
        <f t="shared" si="98"/>
        <v>0.53282830427735195</v>
      </c>
      <c r="AW161" s="341"/>
      <c r="AX161" s="24">
        <f t="shared" si="99"/>
        <v>19809.855263157893</v>
      </c>
      <c r="AY161" s="351"/>
      <c r="AZ161" s="10"/>
      <c r="BA161" s="66">
        <f t="shared" si="100"/>
        <v>679870</v>
      </c>
      <c r="BB161" s="67"/>
      <c r="BC161" s="67">
        <v>72367651</v>
      </c>
      <c r="BD161" s="67"/>
      <c r="BE161" s="67">
        <f t="shared" si="101"/>
        <v>43999</v>
      </c>
      <c r="BF161" s="67"/>
      <c r="BG161" s="156">
        <f t="shared" si="102"/>
        <v>6.4716784091076229E-2</v>
      </c>
      <c r="BH161" s="67"/>
      <c r="BI161" s="183"/>
      <c r="BJ161" s="67"/>
      <c r="BK161" s="67">
        <f t="shared" si="107"/>
        <v>5425294</v>
      </c>
      <c r="BL161" s="67"/>
      <c r="BM161" s="156">
        <f t="shared" si="108"/>
        <v>6.3643739859996523E-2</v>
      </c>
      <c r="BN161" s="66">
        <f t="shared" si="103"/>
        <v>476102.96710526315</v>
      </c>
      <c r="BO161" s="67"/>
      <c r="BP161" s="67">
        <f t="shared" si="104"/>
        <v>5364638</v>
      </c>
      <c r="BQ161" s="67"/>
      <c r="BR161" s="478">
        <f t="shared" si="105"/>
        <v>7.4130332073373509E-2</v>
      </c>
      <c r="BS161" s="67"/>
      <c r="BT161" s="86"/>
      <c r="BU161" s="183"/>
      <c r="BV161" s="1"/>
      <c r="BW161" s="61">
        <f t="shared" si="53"/>
        <v>152</v>
      </c>
    </row>
    <row r="162" spans="2:75" x14ac:dyDescent="0.3">
      <c r="B162" s="171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5696133</v>
      </c>
      <c r="I162" s="16"/>
      <c r="J162" s="479">
        <f t="shared" si="90"/>
        <v>7.958189115155119E-3</v>
      </c>
      <c r="K162" s="16"/>
      <c r="L162" s="16"/>
      <c r="M162" s="16"/>
      <c r="N162" s="16">
        <f t="shared" si="114"/>
        <v>335914</v>
      </c>
      <c r="O162" s="16">
        <f t="shared" si="115"/>
        <v>37229.627450980392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176876</v>
      </c>
      <c r="AB162" s="33"/>
      <c r="AC162" s="46">
        <f t="shared" si="94"/>
        <v>3.1051943485167922E-2</v>
      </c>
      <c r="AD162" s="33"/>
      <c r="AE162" s="33">
        <f t="shared" si="95"/>
        <v>1156.0522875816994</v>
      </c>
      <c r="AF162" s="50"/>
      <c r="AG162" s="33">
        <f t="shared" si="111"/>
        <v>7228</v>
      </c>
      <c r="AH162" s="33">
        <f t="shared" si="112"/>
        <v>411813763.23752838</v>
      </c>
      <c r="AI162" s="231">
        <f t="shared" si="113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504">
        <f t="shared" si="97"/>
        <v>1.7014723532744535E-2</v>
      </c>
      <c r="AS162" s="25"/>
      <c r="AT162" s="25"/>
      <c r="AU162" s="24"/>
      <c r="AV162" s="341">
        <f t="shared" si="98"/>
        <v>0.53761578249665165</v>
      </c>
      <c r="AW162" s="341"/>
      <c r="AX162" s="24">
        <f t="shared" si="99"/>
        <v>20015.235294117647</v>
      </c>
      <c r="AY162" s="351"/>
      <c r="AZ162" s="10"/>
      <c r="BA162" s="66">
        <f t="shared" si="100"/>
        <v>748058</v>
      </c>
      <c r="BB162" s="67"/>
      <c r="BC162" s="67">
        <v>73115709</v>
      </c>
      <c r="BD162" s="67"/>
      <c r="BE162" s="67">
        <f t="shared" si="101"/>
        <v>44973</v>
      </c>
      <c r="BF162" s="67"/>
      <c r="BG162" s="156">
        <f t="shared" si="102"/>
        <v>6.011966986517088E-2</v>
      </c>
      <c r="BH162" s="67"/>
      <c r="BI162" s="183"/>
      <c r="BJ162" s="67"/>
      <c r="BK162" s="67">
        <f t="shared" si="107"/>
        <v>5564548</v>
      </c>
      <c r="BL162" s="67"/>
      <c r="BM162" s="156">
        <f t="shared" si="108"/>
        <v>6.0366807870109125E-2</v>
      </c>
      <c r="BN162" s="66">
        <f t="shared" si="103"/>
        <v>477880.45098039217</v>
      </c>
      <c r="BO162" s="67"/>
      <c r="BP162" s="67">
        <f t="shared" si="104"/>
        <v>5409611</v>
      </c>
      <c r="BQ162" s="67"/>
      <c r="BR162" s="478">
        <f t="shared" si="105"/>
        <v>7.3986986845740635E-2</v>
      </c>
      <c r="BS162" s="67"/>
      <c r="BT162" s="86"/>
      <c r="BU162" s="183"/>
      <c r="BV162" s="1"/>
      <c r="BW162" s="61">
        <f t="shared" si="53"/>
        <v>153</v>
      </c>
    </row>
    <row r="163" spans="2:75" x14ac:dyDescent="0.3">
      <c r="B163" s="171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5741490</v>
      </c>
      <c r="I163" s="16"/>
      <c r="J163" s="479">
        <f t="shared" si="90"/>
        <v>7.9627705322189626E-3</v>
      </c>
      <c r="K163" s="16"/>
      <c r="L163" s="16"/>
      <c r="M163" s="16"/>
      <c r="N163" s="16">
        <f t="shared" si="114"/>
        <v>325907</v>
      </c>
      <c r="O163" s="16">
        <f t="shared" si="115"/>
        <v>37282.402597402601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177973</v>
      </c>
      <c r="AB163" s="33"/>
      <c r="AC163" s="46">
        <f t="shared" si="94"/>
        <v>3.0997702686933182E-2</v>
      </c>
      <c r="AD163" s="33"/>
      <c r="AE163" s="33">
        <f t="shared" si="95"/>
        <v>1155.6688311688313</v>
      </c>
      <c r="AF163" s="50"/>
      <c r="AG163" s="33">
        <f t="shared" si="111"/>
        <v>7041</v>
      </c>
      <c r="AH163" s="33">
        <f t="shared" si="112"/>
        <v>411746284.30952841</v>
      </c>
      <c r="AI163" s="231">
        <f t="shared" si="113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504">
        <f t="shared" si="97"/>
        <v>1.0826066809890896E-2</v>
      </c>
      <c r="AS163" s="25"/>
      <c r="AT163" s="25"/>
      <c r="AU163" s="24"/>
      <c r="AV163" s="341">
        <f t="shared" si="98"/>
        <v>0.53914297508138131</v>
      </c>
      <c r="AW163" s="341"/>
      <c r="AX163" s="24">
        <f t="shared" si="99"/>
        <v>20100.545454545456</v>
      </c>
      <c r="AY163" s="351"/>
      <c r="AZ163" s="10"/>
      <c r="BA163" s="66">
        <f t="shared" si="100"/>
        <v>752623</v>
      </c>
      <c r="BB163" s="67"/>
      <c r="BC163" s="67">
        <v>73868332</v>
      </c>
      <c r="BD163" s="67"/>
      <c r="BE163" s="67">
        <f t="shared" si="101"/>
        <v>45357</v>
      </c>
      <c r="BF163" s="67"/>
      <c r="BG163" s="156">
        <f t="shared" si="102"/>
        <v>6.0265232393907707E-2</v>
      </c>
      <c r="BH163" s="67"/>
      <c r="BI163" s="183"/>
      <c r="BJ163" s="67"/>
      <c r="BK163" s="67">
        <f t="shared" si="107"/>
        <v>5343730</v>
      </c>
      <c r="BL163" s="67"/>
      <c r="BM163" s="156">
        <f t="shared" si="108"/>
        <v>6.0988672706143464E-2</v>
      </c>
      <c r="BN163" s="66">
        <f t="shared" si="103"/>
        <v>479664.49350649351</v>
      </c>
      <c r="BO163" s="67"/>
      <c r="BP163" s="67">
        <f t="shared" si="104"/>
        <v>5454968</v>
      </c>
      <c r="BQ163" s="67"/>
      <c r="BR163" s="478">
        <f t="shared" si="105"/>
        <v>7.3847179871341886E-2</v>
      </c>
      <c r="BS163" s="67"/>
      <c r="BT163" s="86"/>
      <c r="BU163" s="183"/>
      <c r="BV163" s="1"/>
      <c r="BW163" s="61">
        <f t="shared" si="53"/>
        <v>154</v>
      </c>
    </row>
    <row r="164" spans="2:75" x14ac:dyDescent="0.3">
      <c r="B164" s="171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5791971</v>
      </c>
      <c r="I164" s="16"/>
      <c r="J164" s="479">
        <f t="shared" si="90"/>
        <v>8.7923169769519756E-3</v>
      </c>
      <c r="K164" s="16"/>
      <c r="L164" s="16"/>
      <c r="M164" s="16"/>
      <c r="N164" s="16">
        <f t="shared" si="114"/>
        <v>315788</v>
      </c>
      <c r="O164" s="16">
        <f t="shared" si="115"/>
        <v>37367.554838709679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179143</v>
      </c>
      <c r="AB164" s="33"/>
      <c r="AC164" s="46">
        <f t="shared" si="94"/>
        <v>3.0929540220418921E-2</v>
      </c>
      <c r="AD164" s="33"/>
      <c r="AE164" s="33">
        <f t="shared" si="95"/>
        <v>1155.7612903225806</v>
      </c>
      <c r="AF164" s="50"/>
      <c r="AG164" s="33">
        <f t="shared" si="111"/>
        <v>7091</v>
      </c>
      <c r="AH164" s="33">
        <f t="shared" si="112"/>
        <v>411674317.30952841</v>
      </c>
      <c r="AI164" s="231">
        <f t="shared" si="113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504">
        <f t="shared" si="97"/>
        <v>1.0316318869682414E-2</v>
      </c>
      <c r="AS164" s="25"/>
      <c r="AT164" s="25"/>
      <c r="AU164" s="24"/>
      <c r="AV164" s="341">
        <f t="shared" si="98"/>
        <v>0.53995746870970174</v>
      </c>
      <c r="AW164" s="341"/>
      <c r="AX164" s="24">
        <f t="shared" si="99"/>
        <v>20176.890322580646</v>
      </c>
      <c r="AY164" s="351"/>
      <c r="AZ164" s="10"/>
      <c r="BA164" s="66">
        <f t="shared" si="100"/>
        <v>850248</v>
      </c>
      <c r="BB164" s="67"/>
      <c r="BC164" s="67">
        <v>74718580</v>
      </c>
      <c r="BD164" s="67"/>
      <c r="BE164" s="67">
        <f t="shared" si="101"/>
        <v>50481</v>
      </c>
      <c r="BF164" s="67"/>
      <c r="BG164" s="156">
        <f t="shared" si="102"/>
        <v>5.9372089084596492E-2</v>
      </c>
      <c r="BH164" s="67"/>
      <c r="BI164" s="183"/>
      <c r="BJ164" s="67"/>
      <c r="BK164" s="67">
        <f t="shared" si="107"/>
        <v>5356571</v>
      </c>
      <c r="BL164" s="67"/>
      <c r="BM164" s="156">
        <f t="shared" si="108"/>
        <v>5.8953386410821401E-2</v>
      </c>
      <c r="BN164" s="66">
        <f t="shared" si="103"/>
        <v>482055.3548387097</v>
      </c>
      <c r="BO164" s="67"/>
      <c r="BP164" s="67">
        <f t="shared" si="104"/>
        <v>5505449</v>
      </c>
      <c r="BQ164" s="67"/>
      <c r="BR164" s="478">
        <f t="shared" si="105"/>
        <v>7.3682462916184965E-2</v>
      </c>
      <c r="BS164" s="67"/>
      <c r="BT164" s="86"/>
      <c r="BU164" s="183"/>
      <c r="BV164" s="1"/>
      <c r="BW164" s="61">
        <f t="shared" si="53"/>
        <v>155</v>
      </c>
    </row>
    <row r="165" spans="2:75" x14ac:dyDescent="0.3">
      <c r="B165" s="171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6">+H164+D165</f>
        <v>5835800</v>
      </c>
      <c r="I165" s="16"/>
      <c r="J165" s="479">
        <f t="shared" ref="J165:J182" si="117">+D165/H164</f>
        <v>7.5671994904670621E-3</v>
      </c>
      <c r="K165" s="16"/>
      <c r="L165" s="16"/>
      <c r="M165" s="16"/>
      <c r="N165" s="16">
        <f t="shared" ref="N165:N182" si="118">SUM(D159:D165)</f>
        <v>306094</v>
      </c>
      <c r="O165" s="16">
        <f t="shared" si="115"/>
        <v>37408.974358974359</v>
      </c>
      <c r="P165" s="41"/>
      <c r="Q165" s="17">
        <f t="shared" ref="Q165:Q182" si="119">SUM(D159:D165)</f>
        <v>306094</v>
      </c>
      <c r="R165" s="16"/>
      <c r="S165" s="60">
        <f t="shared" ref="S165:S182" si="120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1">+AA164+W165</f>
        <v>180117</v>
      </c>
      <c r="AB165" s="33"/>
      <c r="AC165" s="46">
        <f t="shared" ref="AC165:AC182" si="122">+AA165/H165</f>
        <v>3.0864148874190343E-2</v>
      </c>
      <c r="AD165" s="33"/>
      <c r="AE165" s="33">
        <f t="shared" ref="AE165:AE182" si="123">+AA165/BW165</f>
        <v>1154.5961538461538</v>
      </c>
      <c r="AF165" s="50"/>
      <c r="AG165" s="33">
        <f t="shared" ref="AG165:AG182" si="124">SUM(W159:W165)</f>
        <v>6994</v>
      </c>
      <c r="AH165" s="33">
        <f t="shared" si="112"/>
        <v>411604874.35152841</v>
      </c>
      <c r="AI165" s="231">
        <f t="shared" ref="AI165:AI182" si="125">+(AG165-AG158)/AG158</f>
        <v>-6.3470808784145683E-2</v>
      </c>
      <c r="AJ165" s="50"/>
      <c r="AK165" s="10"/>
      <c r="AL165" s="23">
        <f t="shared" ref="AL165:AL182" si="126">+AP165-AP164</f>
        <v>20662</v>
      </c>
      <c r="AM165" s="24"/>
      <c r="AN165" s="24"/>
      <c r="AO165" s="24">
        <v>178263</v>
      </c>
      <c r="AP165" s="24">
        <v>3148080</v>
      </c>
      <c r="AQ165" s="24"/>
      <c r="AR165" s="504">
        <f t="shared" ref="AR165:AR182" si="127">+AL165/AP164</f>
        <v>6.606727978159619E-3</v>
      </c>
      <c r="AS165" s="25"/>
      <c r="AT165" s="25"/>
      <c r="AU165" s="24"/>
      <c r="AV165" s="341">
        <f t="shared" ref="AV165:AV182" si="128">+AP165/H165</f>
        <v>0.53944274992288976</v>
      </c>
      <c r="AW165" s="341"/>
      <c r="AX165" s="24">
        <f t="shared" ref="AX165:AX182" si="129">+AP165/BW165</f>
        <v>20180</v>
      </c>
      <c r="AY165" s="351"/>
      <c r="AZ165" s="10"/>
      <c r="BA165" s="66">
        <f t="shared" ref="BA165:BA182" si="130">+BC165-BC164</f>
        <v>756595</v>
      </c>
      <c r="BB165" s="67"/>
      <c r="BC165" s="67">
        <v>75475175</v>
      </c>
      <c r="BD165" s="67"/>
      <c r="BE165" s="67">
        <f t="shared" ref="BE165:BE182" si="131">+D165</f>
        <v>43829</v>
      </c>
      <c r="BF165" s="67"/>
      <c r="BG165" s="156">
        <f t="shared" ref="BG165:BG182" si="132">+BE165/BA165</f>
        <v>5.7929275239725346E-2</v>
      </c>
      <c r="BH165" s="67"/>
      <c r="BI165" s="183"/>
      <c r="BJ165" s="67"/>
      <c r="BK165" s="67">
        <f t="shared" ref="BK165:BK182" si="133">SUM(BA159:BA165)</f>
        <v>5250502</v>
      </c>
      <c r="BL165" s="67"/>
      <c r="BM165" s="156">
        <f t="shared" ref="BM165:BM182" si="134">+Q165/BK165</f>
        <v>5.8298044644112125E-2</v>
      </c>
      <c r="BN165" s="66">
        <f t="shared" ref="BN165:BN182" si="135">+BC165/BW165</f>
        <v>483815.22435897437</v>
      </c>
      <c r="BO165" s="67"/>
      <c r="BP165" s="67">
        <f t="shared" ref="BP165:BP182" si="136">+BP164+BE165</f>
        <v>5549278</v>
      </c>
      <c r="BQ165" s="67"/>
      <c r="BR165" s="478">
        <f t="shared" ref="BR165:BR182" si="137">+BP165/BC165</f>
        <v>7.3524546316056899E-2</v>
      </c>
      <c r="BS165" s="67"/>
      <c r="BT165" s="86"/>
      <c r="BU165" s="183"/>
      <c r="BV165" s="1"/>
      <c r="BW165" s="61">
        <f t="shared" si="53"/>
        <v>156</v>
      </c>
    </row>
    <row r="166" spans="2:75" x14ac:dyDescent="0.3">
      <c r="B166" s="390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6"/>
        <v>5868518</v>
      </c>
      <c r="I166" s="16"/>
      <c r="J166" s="479">
        <f t="shared" si="117"/>
        <v>5.6064292813324647E-3</v>
      </c>
      <c r="K166" s="16"/>
      <c r="L166" s="16"/>
      <c r="M166" s="16"/>
      <c r="N166" s="16">
        <f t="shared" si="118"/>
        <v>301969</v>
      </c>
      <c r="O166" s="16">
        <f t="shared" si="115"/>
        <v>37379.095541401271</v>
      </c>
      <c r="P166" s="41"/>
      <c r="Q166" s="17">
        <f t="shared" si="119"/>
        <v>301969</v>
      </c>
      <c r="R166" s="16"/>
      <c r="S166" s="60">
        <f t="shared" si="120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1"/>
        <v>180547</v>
      </c>
      <c r="AB166" s="33"/>
      <c r="AC166" s="46">
        <f t="shared" si="122"/>
        <v>3.0765348253170562E-2</v>
      </c>
      <c r="AD166" s="33"/>
      <c r="AE166" s="33">
        <f t="shared" si="123"/>
        <v>1149.9808917197452</v>
      </c>
      <c r="AF166" s="50"/>
      <c r="AG166" s="33">
        <f t="shared" si="124"/>
        <v>6902</v>
      </c>
      <c r="AH166" s="33">
        <f t="shared" si="112"/>
        <v>412527840.35152841</v>
      </c>
      <c r="AI166" s="231">
        <f t="shared" si="125"/>
        <v>-7.430257510729614E-2</v>
      </c>
      <c r="AJ166" s="50"/>
      <c r="AK166" s="10"/>
      <c r="AL166" s="23">
        <f t="shared" si="126"/>
        <v>18983</v>
      </c>
      <c r="AM166" s="24"/>
      <c r="AN166" s="24"/>
      <c r="AO166" s="24">
        <v>178263</v>
      </c>
      <c r="AP166" s="24">
        <v>3167063</v>
      </c>
      <c r="AQ166" s="24"/>
      <c r="AR166" s="504">
        <f t="shared" si="127"/>
        <v>6.0300246499453633E-3</v>
      </c>
      <c r="AS166" s="25"/>
      <c r="AT166" s="25"/>
      <c r="AU166" s="24"/>
      <c r="AV166" s="341">
        <f t="shared" si="128"/>
        <v>0.53966998141609179</v>
      </c>
      <c r="AW166" s="341"/>
      <c r="AX166" s="24">
        <f t="shared" si="129"/>
        <v>20172.375796178345</v>
      </c>
      <c r="AY166" s="351"/>
      <c r="AZ166" s="391"/>
      <c r="BA166" s="66">
        <f t="shared" si="130"/>
        <v>684203</v>
      </c>
      <c r="BB166" s="67"/>
      <c r="BC166" s="67">
        <v>76159378</v>
      </c>
      <c r="BD166" s="67"/>
      <c r="BE166" s="67">
        <f t="shared" si="131"/>
        <v>32718</v>
      </c>
      <c r="BF166" s="67"/>
      <c r="BG166" s="156">
        <f t="shared" si="132"/>
        <v>4.7819141395170732E-2</v>
      </c>
      <c r="BH166" s="67"/>
      <c r="BI166" s="183"/>
      <c r="BJ166" s="67"/>
      <c r="BK166" s="67">
        <f t="shared" si="133"/>
        <v>5198748</v>
      </c>
      <c r="BL166" s="67"/>
      <c r="BM166" s="156">
        <f t="shared" si="134"/>
        <v>5.8084946606375226E-2</v>
      </c>
      <c r="BN166" s="66">
        <f t="shared" si="135"/>
        <v>485091.57961783442</v>
      </c>
      <c r="BO166" s="67"/>
      <c r="BP166" s="67">
        <f t="shared" si="136"/>
        <v>5581996</v>
      </c>
      <c r="BQ166" s="67"/>
      <c r="BR166" s="478">
        <f t="shared" si="137"/>
        <v>7.3293613296053967E-2</v>
      </c>
      <c r="BS166" s="67"/>
      <c r="BT166" s="86"/>
      <c r="BU166" s="183"/>
      <c r="BV166" s="1"/>
      <c r="BW166" s="61">
        <f t="shared" si="53"/>
        <v>157</v>
      </c>
    </row>
    <row r="167" spans="2:75" x14ac:dyDescent="0.3">
      <c r="B167" s="171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6"/>
        <v>5910002</v>
      </c>
      <c r="I167" s="16"/>
      <c r="J167" s="479">
        <f t="shared" si="117"/>
        <v>7.0689056419354938E-3</v>
      </c>
      <c r="K167" s="16"/>
      <c r="L167" s="16"/>
      <c r="M167" s="16"/>
      <c r="N167" s="16">
        <f t="shared" si="118"/>
        <v>302841</v>
      </c>
      <c r="O167" s="16">
        <f t="shared" si="115"/>
        <v>37405.075949367092</v>
      </c>
      <c r="P167" s="41"/>
      <c r="Q167" s="17">
        <f t="shared" si="119"/>
        <v>302841</v>
      </c>
      <c r="R167" s="16"/>
      <c r="S167" s="60">
        <f t="shared" si="120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1"/>
        <v>181057</v>
      </c>
      <c r="AB167" s="33"/>
      <c r="AC167" s="46">
        <f t="shared" si="122"/>
        <v>3.0635691832253186E-2</v>
      </c>
      <c r="AD167" s="33"/>
      <c r="AE167" s="33">
        <f t="shared" si="123"/>
        <v>1145.9303797468353</v>
      </c>
      <c r="AF167" s="50"/>
      <c r="AG167" s="33">
        <f t="shared" si="124"/>
        <v>6823</v>
      </c>
      <c r="AH167" s="33">
        <f t="shared" si="112"/>
        <v>412460427.35152841</v>
      </c>
      <c r="AI167" s="231">
        <f t="shared" si="125"/>
        <v>-8.7346174424826103E-2</v>
      </c>
      <c r="AJ167" s="50"/>
      <c r="AK167" s="10"/>
      <c r="AL167" s="23">
        <f t="shared" si="126"/>
        <v>50918</v>
      </c>
      <c r="AM167" s="24"/>
      <c r="AN167" s="24"/>
      <c r="AO167" s="24">
        <v>178263</v>
      </c>
      <c r="AP167" s="24">
        <v>3217981</v>
      </c>
      <c r="AQ167" s="24"/>
      <c r="AR167" s="504">
        <f t="shared" si="127"/>
        <v>1.607735621299608E-2</v>
      </c>
      <c r="AS167" s="25"/>
      <c r="AT167" s="25"/>
      <c r="AU167" s="24"/>
      <c r="AV167" s="341">
        <f t="shared" si="128"/>
        <v>0.54449744687057633</v>
      </c>
      <c r="AW167" s="341"/>
      <c r="AX167" s="24">
        <f t="shared" si="129"/>
        <v>20366.968354430381</v>
      </c>
      <c r="AY167" s="351"/>
      <c r="AZ167" s="10"/>
      <c r="BA167" s="66">
        <f t="shared" si="130"/>
        <v>724101</v>
      </c>
      <c r="BB167" s="67"/>
      <c r="BC167" s="67">
        <v>76883479</v>
      </c>
      <c r="BD167" s="67"/>
      <c r="BE167" s="67">
        <f t="shared" si="131"/>
        <v>41484</v>
      </c>
      <c r="BF167" s="67"/>
      <c r="BG167" s="156">
        <f t="shared" si="132"/>
        <v>5.7290350379297916E-2</v>
      </c>
      <c r="BH167" s="67"/>
      <c r="BI167" s="183"/>
      <c r="BJ167" s="67"/>
      <c r="BK167" s="67">
        <f t="shared" si="133"/>
        <v>5195698</v>
      </c>
      <c r="BL167" s="67"/>
      <c r="BM167" s="156">
        <f t="shared" si="134"/>
        <v>5.8286875026223615E-2</v>
      </c>
      <c r="BN167" s="66">
        <f t="shared" si="135"/>
        <v>486604.2974683544</v>
      </c>
      <c r="BO167" s="67"/>
      <c r="BP167" s="67">
        <f t="shared" si="136"/>
        <v>5623480</v>
      </c>
      <c r="BQ167" s="67"/>
      <c r="BR167" s="478">
        <f t="shared" si="137"/>
        <v>7.3142891985936279E-2</v>
      </c>
      <c r="BS167" s="67"/>
      <c r="BT167" s="86"/>
      <c r="BU167" s="183"/>
      <c r="BV167" s="1"/>
      <c r="BW167" s="61">
        <f t="shared" si="53"/>
        <v>158</v>
      </c>
    </row>
    <row r="168" spans="2:75" x14ac:dyDescent="0.3">
      <c r="B168" s="171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6"/>
        <v>5950100</v>
      </c>
      <c r="I168" s="16"/>
      <c r="J168" s="479">
        <f t="shared" si="117"/>
        <v>6.7847692775738488E-3</v>
      </c>
      <c r="K168" s="16"/>
      <c r="L168" s="16"/>
      <c r="M168" s="16"/>
      <c r="N168" s="16">
        <f t="shared" si="118"/>
        <v>298940</v>
      </c>
      <c r="O168" s="16">
        <f t="shared" si="115"/>
        <v>37422.012578616355</v>
      </c>
      <c r="P168" s="41"/>
      <c r="Q168" s="17">
        <f t="shared" si="119"/>
        <v>298940</v>
      </c>
      <c r="R168" s="16"/>
      <c r="S168" s="60">
        <f t="shared" si="120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1"/>
        <v>182347</v>
      </c>
      <c r="AB168" s="33"/>
      <c r="AC168" s="46">
        <f t="shared" si="122"/>
        <v>3.0646039562360297E-2</v>
      </c>
      <c r="AD168" s="33"/>
      <c r="AE168" s="33">
        <f t="shared" si="123"/>
        <v>1146.8364779874214</v>
      </c>
      <c r="AF168" s="50"/>
      <c r="AG168" s="33">
        <f t="shared" si="124"/>
        <v>6755</v>
      </c>
      <c r="AH168" s="33">
        <f t="shared" si="112"/>
        <v>412404297.35152841</v>
      </c>
      <c r="AI168" s="231">
        <f t="shared" si="125"/>
        <v>-7.8444747612551158E-2</v>
      </c>
      <c r="AJ168" s="50"/>
      <c r="AK168" s="10"/>
      <c r="AL168" s="23">
        <f t="shared" si="126"/>
        <v>36301</v>
      </c>
      <c r="AM168" s="24"/>
      <c r="AN168" s="24"/>
      <c r="AO168" s="24">
        <v>178263</v>
      </c>
      <c r="AP168" s="24">
        <v>3254282</v>
      </c>
      <c r="AQ168" s="24"/>
      <c r="AR168" s="504">
        <f t="shared" si="127"/>
        <v>1.1280675678321283E-2</v>
      </c>
      <c r="AS168" s="25"/>
      <c r="AT168" s="25"/>
      <c r="AU168" s="24"/>
      <c r="AV168" s="341">
        <f t="shared" si="128"/>
        <v>0.54692895917715667</v>
      </c>
      <c r="AW168" s="341"/>
      <c r="AX168" s="24">
        <f t="shared" si="129"/>
        <v>20467.182389937108</v>
      </c>
      <c r="AY168" s="351"/>
      <c r="AZ168" s="10"/>
      <c r="BA168" s="66">
        <f t="shared" si="130"/>
        <v>1047928</v>
      </c>
      <c r="BB168" s="67"/>
      <c r="BC168" s="67">
        <v>77931407</v>
      </c>
      <c r="BD168" s="67"/>
      <c r="BE168" s="67">
        <f t="shared" si="131"/>
        <v>40098</v>
      </c>
      <c r="BF168" s="67"/>
      <c r="BG168" s="156">
        <f t="shared" si="132"/>
        <v>3.8264079211548882E-2</v>
      </c>
      <c r="BH168" s="67"/>
      <c r="BI168" s="183"/>
      <c r="BJ168" s="67"/>
      <c r="BK168" s="67">
        <f t="shared" si="133"/>
        <v>5563756</v>
      </c>
      <c r="BL168" s="67"/>
      <c r="BM168" s="156">
        <f t="shared" si="134"/>
        <v>5.3729890383402867E-2</v>
      </c>
      <c r="BN168" s="66">
        <f t="shared" si="135"/>
        <v>490134.63522012578</v>
      </c>
      <c r="BO168" s="67"/>
      <c r="BP168" s="67">
        <f t="shared" si="136"/>
        <v>5663578</v>
      </c>
      <c r="BQ168" s="67"/>
      <c r="BR168" s="478">
        <f t="shared" si="137"/>
        <v>7.2673883585856469E-2</v>
      </c>
      <c r="BS168" s="67"/>
      <c r="BT168" s="86"/>
      <c r="BU168" s="183"/>
      <c r="BV168" s="1"/>
      <c r="BW168" s="61">
        <f t="shared" si="53"/>
        <v>159</v>
      </c>
    </row>
    <row r="169" spans="2:75" x14ac:dyDescent="0.3">
      <c r="B169" s="171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6"/>
        <v>5994737</v>
      </c>
      <c r="I169" s="16"/>
      <c r="J169" s="479">
        <f t="shared" si="117"/>
        <v>7.501890724525638E-3</v>
      </c>
      <c r="K169" s="16"/>
      <c r="L169" s="16"/>
      <c r="M169" s="16"/>
      <c r="N169" s="16">
        <f t="shared" si="118"/>
        <v>298604</v>
      </c>
      <c r="O169" s="16">
        <f t="shared" si="115"/>
        <v>37467.106249999997</v>
      </c>
      <c r="P169" s="41"/>
      <c r="Q169" s="17">
        <f t="shared" si="119"/>
        <v>298604</v>
      </c>
      <c r="R169" s="16"/>
      <c r="S169" s="60">
        <f t="shared" si="120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1"/>
        <v>183627</v>
      </c>
      <c r="AB169" s="33"/>
      <c r="AC169" s="46">
        <f t="shared" si="122"/>
        <v>3.0631368815679488E-2</v>
      </c>
      <c r="AD169" s="33"/>
      <c r="AE169" s="33">
        <f t="shared" si="123"/>
        <v>1147.66875</v>
      </c>
      <c r="AF169" s="50"/>
      <c r="AG169" s="33">
        <f t="shared" si="124"/>
        <v>6751</v>
      </c>
      <c r="AH169" s="33">
        <f t="shared" si="112"/>
        <v>412342726.35152841</v>
      </c>
      <c r="AI169" s="231">
        <f t="shared" si="125"/>
        <v>-6.5993359158826786E-2</v>
      </c>
      <c r="AJ169" s="50"/>
      <c r="AK169" s="10"/>
      <c r="AL169" s="23">
        <f t="shared" si="126"/>
        <v>59579</v>
      </c>
      <c r="AM169" s="24"/>
      <c r="AN169" s="24"/>
      <c r="AO169" s="24">
        <v>178263</v>
      </c>
      <c r="AP169" s="24">
        <v>3313861</v>
      </c>
      <c r="AQ169" s="24"/>
      <c r="AR169" s="504">
        <f t="shared" si="127"/>
        <v>1.8307878665708748E-2</v>
      </c>
      <c r="AS169" s="25"/>
      <c r="AT169" s="25"/>
      <c r="AU169" s="24"/>
      <c r="AV169" s="341">
        <f t="shared" si="128"/>
        <v>0.5527950600668553</v>
      </c>
      <c r="AW169" s="341"/>
      <c r="AX169" s="24">
        <f t="shared" si="129"/>
        <v>20711.631249999999</v>
      </c>
      <c r="AY169" s="351"/>
      <c r="AZ169" s="10"/>
      <c r="BA169" s="66">
        <f t="shared" si="130"/>
        <v>701159</v>
      </c>
      <c r="BB169" s="67"/>
      <c r="BC169" s="67">
        <v>78632566</v>
      </c>
      <c r="BD169" s="67"/>
      <c r="BE169" s="67">
        <f t="shared" si="131"/>
        <v>44637</v>
      </c>
      <c r="BF169" s="67"/>
      <c r="BG169" s="156">
        <f t="shared" si="132"/>
        <v>6.3661737209391875E-2</v>
      </c>
      <c r="BH169" s="67"/>
      <c r="BI169" s="183"/>
      <c r="BJ169" s="67"/>
      <c r="BK169" s="67">
        <f t="shared" si="133"/>
        <v>5516857</v>
      </c>
      <c r="BL169" s="67"/>
      <c r="BM169" s="156">
        <f t="shared" si="134"/>
        <v>5.4125745873057796E-2</v>
      </c>
      <c r="BN169" s="66">
        <f t="shared" si="135"/>
        <v>491453.53749999998</v>
      </c>
      <c r="BO169" s="67"/>
      <c r="BP169" s="67">
        <f t="shared" si="136"/>
        <v>5708215</v>
      </c>
      <c r="BQ169" s="67"/>
      <c r="BR169" s="478">
        <f t="shared" si="137"/>
        <v>7.2593523146631131E-2</v>
      </c>
      <c r="BS169" s="67"/>
      <c r="BT169" s="86"/>
      <c r="BU169" s="183"/>
      <c r="BV169" s="1"/>
      <c r="BW169" s="61">
        <f t="shared" si="53"/>
        <v>160</v>
      </c>
    </row>
    <row r="170" spans="2:75" x14ac:dyDescent="0.3">
      <c r="B170" s="171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6"/>
        <v>6040743</v>
      </c>
      <c r="I170" s="16"/>
      <c r="J170" s="479">
        <f t="shared" si="117"/>
        <v>7.6743983931238354E-3</v>
      </c>
      <c r="K170" s="16"/>
      <c r="L170" s="16"/>
      <c r="M170" s="16"/>
      <c r="N170" s="16">
        <f t="shared" si="118"/>
        <v>299253</v>
      </c>
      <c r="O170" s="16">
        <f t="shared" ref="O170:O182" si="138">+H170/BW170</f>
        <v>37520.142857142855</v>
      </c>
      <c r="P170" s="41"/>
      <c r="Q170" s="17">
        <f t="shared" si="119"/>
        <v>299253</v>
      </c>
      <c r="R170" s="16"/>
      <c r="S170" s="60">
        <f t="shared" si="120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1"/>
        <v>184770</v>
      </c>
      <c r="AB170" s="33"/>
      <c r="AC170" s="46">
        <f t="shared" si="122"/>
        <v>3.0587296959993165E-2</v>
      </c>
      <c r="AD170" s="33"/>
      <c r="AE170" s="33">
        <f t="shared" si="123"/>
        <v>1147.6397515527951</v>
      </c>
      <c r="AF170" s="50"/>
      <c r="AG170" s="33">
        <f t="shared" si="124"/>
        <v>6797</v>
      </c>
      <c r="AH170" s="33">
        <f t="shared" si="112"/>
        <v>412277997.35152841</v>
      </c>
      <c r="AI170" s="231">
        <f t="shared" si="125"/>
        <v>-3.4654168441982672E-2</v>
      </c>
      <c r="AJ170" s="50"/>
      <c r="AK170" s="10"/>
      <c r="AL170" s="23">
        <f t="shared" si="126"/>
        <v>34079</v>
      </c>
      <c r="AM170" s="24"/>
      <c r="AN170" s="24"/>
      <c r="AO170" s="24">
        <v>178263</v>
      </c>
      <c r="AP170" s="24">
        <v>3347940</v>
      </c>
      <c r="AQ170" s="24"/>
      <c r="AR170" s="504">
        <f t="shared" si="127"/>
        <v>1.0283774726821675E-2</v>
      </c>
      <c r="AS170" s="25"/>
      <c r="AT170" s="25"/>
      <c r="AU170" s="24"/>
      <c r="AV170" s="341">
        <f t="shared" si="128"/>
        <v>0.55422652478345791</v>
      </c>
      <c r="AW170" s="341"/>
      <c r="AX170" s="24">
        <f t="shared" si="129"/>
        <v>20794.658385093167</v>
      </c>
      <c r="AY170" s="351"/>
      <c r="AZ170" s="10"/>
      <c r="BA170" s="66">
        <f t="shared" si="130"/>
        <v>839920</v>
      </c>
      <c r="BB170" s="67"/>
      <c r="BC170" s="67">
        <v>79472486</v>
      </c>
      <c r="BD170" s="67"/>
      <c r="BE170" s="67">
        <f t="shared" si="131"/>
        <v>46006</v>
      </c>
      <c r="BF170" s="67"/>
      <c r="BG170" s="156">
        <f t="shared" si="132"/>
        <v>5.4774264215639586E-2</v>
      </c>
      <c r="BH170" s="67"/>
      <c r="BI170" s="183"/>
      <c r="BJ170" s="67"/>
      <c r="BK170" s="67">
        <f t="shared" si="133"/>
        <v>5604154</v>
      </c>
      <c r="BL170" s="67"/>
      <c r="BM170" s="156">
        <f t="shared" si="134"/>
        <v>5.3398425525065872E-2</v>
      </c>
      <c r="BN170" s="66">
        <f t="shared" si="135"/>
        <v>493617.92546583852</v>
      </c>
      <c r="BO170" s="67"/>
      <c r="BP170" s="67">
        <f t="shared" si="136"/>
        <v>5754221</v>
      </c>
      <c r="BQ170" s="67"/>
      <c r="BR170" s="478">
        <f t="shared" si="137"/>
        <v>7.2405196938220853E-2</v>
      </c>
      <c r="BS170" s="67"/>
      <c r="BT170" s="86"/>
      <c r="BU170" s="183"/>
      <c r="BV170" s="1"/>
      <c r="BW170" s="61">
        <f t="shared" si="53"/>
        <v>161</v>
      </c>
    </row>
    <row r="171" spans="2:75" x14ac:dyDescent="0.3">
      <c r="B171" s="171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6"/>
        <v>6090344</v>
      </c>
      <c r="I171" s="16"/>
      <c r="J171" s="479">
        <f t="shared" si="117"/>
        <v>8.2110760216085998E-3</v>
      </c>
      <c r="K171" s="16"/>
      <c r="L171" s="16"/>
      <c r="M171" s="16"/>
      <c r="N171" s="16">
        <f t="shared" si="118"/>
        <v>298373</v>
      </c>
      <c r="O171" s="16">
        <f t="shared" si="138"/>
        <v>37594.716049382718</v>
      </c>
      <c r="P171" s="41"/>
      <c r="Q171" s="17">
        <f t="shared" si="119"/>
        <v>298373</v>
      </c>
      <c r="R171" s="16"/>
      <c r="S171" s="60">
        <f t="shared" si="120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1"/>
        <v>185875</v>
      </c>
      <c r="AB171" s="33"/>
      <c r="AC171" s="46">
        <f t="shared" si="122"/>
        <v>3.051962253692074E-2</v>
      </c>
      <c r="AD171" s="33"/>
      <c r="AE171" s="33">
        <f t="shared" si="123"/>
        <v>1147.3765432098764</v>
      </c>
      <c r="AF171" s="50"/>
      <c r="AG171" s="33">
        <f t="shared" si="124"/>
        <v>6732</v>
      </c>
      <c r="AH171" s="33">
        <f t="shared" si="112"/>
        <v>412211076.35152841</v>
      </c>
      <c r="AI171" s="231">
        <f t="shared" si="125"/>
        <v>-5.0627556056973631E-2</v>
      </c>
      <c r="AJ171" s="50"/>
      <c r="AK171" s="10"/>
      <c r="AL171" s="23">
        <f t="shared" si="126"/>
        <v>27898</v>
      </c>
      <c r="AM171" s="24"/>
      <c r="AN171" s="24"/>
      <c r="AO171" s="24">
        <v>178263</v>
      </c>
      <c r="AP171" s="24">
        <v>3375838</v>
      </c>
      <c r="AQ171" s="24"/>
      <c r="AR171" s="504">
        <f t="shared" si="127"/>
        <v>8.3328852966301666E-3</v>
      </c>
      <c r="AS171" s="25"/>
      <c r="AT171" s="25"/>
      <c r="AU171" s="24"/>
      <c r="AV171" s="341">
        <f t="shared" si="128"/>
        <v>0.55429348490003194</v>
      </c>
      <c r="AW171" s="341"/>
      <c r="AX171" s="24">
        <f t="shared" si="129"/>
        <v>20838.506172839505</v>
      </c>
      <c r="AY171" s="351"/>
      <c r="AZ171" s="10"/>
      <c r="BA171" s="66">
        <f t="shared" si="130"/>
        <v>827184</v>
      </c>
      <c r="BB171" s="67"/>
      <c r="BC171" s="67">
        <v>80299670</v>
      </c>
      <c r="BD171" s="67"/>
      <c r="BE171" s="67">
        <f t="shared" si="131"/>
        <v>49601</v>
      </c>
      <c r="BF171" s="67"/>
      <c r="BG171" s="156">
        <f t="shared" si="132"/>
        <v>5.9963684017098978E-2</v>
      </c>
      <c r="BH171" s="67"/>
      <c r="BI171" s="183"/>
      <c r="BJ171" s="67"/>
      <c r="BK171" s="67">
        <f t="shared" si="133"/>
        <v>5581090</v>
      </c>
      <c r="BL171" s="67"/>
      <c r="BM171" s="156">
        <f t="shared" si="134"/>
        <v>5.346142061855301E-2</v>
      </c>
      <c r="BN171" s="66">
        <f t="shared" si="135"/>
        <v>495676.97530864197</v>
      </c>
      <c r="BO171" s="67"/>
      <c r="BP171" s="67">
        <f t="shared" si="136"/>
        <v>5803822</v>
      </c>
      <c r="BQ171" s="67"/>
      <c r="BR171" s="478">
        <f t="shared" si="137"/>
        <v>7.2277034264275314E-2</v>
      </c>
      <c r="BS171" s="67"/>
      <c r="BT171" s="86"/>
      <c r="BU171" s="183"/>
      <c r="BV171" s="1"/>
      <c r="BW171" s="61">
        <f t="shared" si="53"/>
        <v>162</v>
      </c>
    </row>
    <row r="172" spans="2:75" x14ac:dyDescent="0.3">
      <c r="B172" s="171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6"/>
        <v>6133004</v>
      </c>
      <c r="I172" s="16"/>
      <c r="J172" s="479">
        <f t="shared" si="117"/>
        <v>7.0045304501683324E-3</v>
      </c>
      <c r="K172" s="16"/>
      <c r="L172" s="16"/>
      <c r="M172" s="16"/>
      <c r="N172" s="16">
        <f t="shared" si="118"/>
        <v>297204</v>
      </c>
      <c r="O172" s="16">
        <f t="shared" si="138"/>
        <v>37625.791411042948</v>
      </c>
      <c r="P172" s="41"/>
      <c r="Q172" s="17">
        <f t="shared" si="119"/>
        <v>297204</v>
      </c>
      <c r="R172" s="16"/>
      <c r="S172" s="60">
        <f t="shared" si="120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1"/>
        <v>186829</v>
      </c>
      <c r="AB172" s="33"/>
      <c r="AC172" s="46">
        <f t="shared" si="122"/>
        <v>3.0462885724516078E-2</v>
      </c>
      <c r="AD172" s="33"/>
      <c r="AE172" s="33">
        <f t="shared" si="123"/>
        <v>1146.1901840490798</v>
      </c>
      <c r="AF172" s="50"/>
      <c r="AG172" s="33">
        <f t="shared" si="124"/>
        <v>6712</v>
      </c>
      <c r="AH172" s="33">
        <f t="shared" si="112"/>
        <v>412142507.35152841</v>
      </c>
      <c r="AI172" s="231">
        <f t="shared" si="125"/>
        <v>-4.0320274521018017E-2</v>
      </c>
      <c r="AJ172" s="50"/>
      <c r="AK172" s="10"/>
      <c r="AL172" s="23">
        <f t="shared" si="126"/>
        <v>32961</v>
      </c>
      <c r="AM172" s="24"/>
      <c r="AN172" s="24"/>
      <c r="AO172" s="24">
        <v>178263</v>
      </c>
      <c r="AP172" s="24">
        <v>3408799</v>
      </c>
      <c r="AQ172" s="24"/>
      <c r="AR172" s="504">
        <f t="shared" si="127"/>
        <v>9.7637979073640375E-3</v>
      </c>
      <c r="AS172" s="25"/>
      <c r="AT172" s="25"/>
      <c r="AU172" s="24"/>
      <c r="AV172" s="341">
        <f t="shared" si="128"/>
        <v>0.55581229035559088</v>
      </c>
      <c r="AW172" s="341"/>
      <c r="AX172" s="24">
        <f t="shared" si="129"/>
        <v>20912.877300613498</v>
      </c>
      <c r="AY172" s="351"/>
      <c r="AZ172" s="10"/>
      <c r="BA172" s="66">
        <f t="shared" si="130"/>
        <v>802727</v>
      </c>
      <c r="BB172" s="67"/>
      <c r="BC172" s="67">
        <v>81102397</v>
      </c>
      <c r="BD172" s="67"/>
      <c r="BE172" s="67">
        <f t="shared" si="131"/>
        <v>42660</v>
      </c>
      <c r="BF172" s="67"/>
      <c r="BG172" s="156">
        <f t="shared" si="132"/>
        <v>5.3143845915236437E-2</v>
      </c>
      <c r="BH172" s="67"/>
      <c r="BI172" s="183"/>
      <c r="BJ172" s="67"/>
      <c r="BK172" s="67">
        <f t="shared" si="133"/>
        <v>5627222</v>
      </c>
      <c r="BL172" s="67"/>
      <c r="BM172" s="156">
        <f t="shared" si="134"/>
        <v>5.2815403408644622E-2</v>
      </c>
      <c r="BN172" s="66">
        <f t="shared" si="135"/>
        <v>497560.71779141104</v>
      </c>
      <c r="BO172" s="67"/>
      <c r="BP172" s="67">
        <f t="shared" si="136"/>
        <v>5846482</v>
      </c>
      <c r="BQ172" s="67"/>
      <c r="BR172" s="478">
        <f t="shared" si="137"/>
        <v>7.208765975190598E-2</v>
      </c>
      <c r="BS172" s="67"/>
      <c r="BT172" s="86"/>
      <c r="BU172" s="183"/>
      <c r="BV172" s="1"/>
      <c r="BW172" s="61">
        <f t="shared" si="53"/>
        <v>163</v>
      </c>
    </row>
    <row r="173" spans="2:75" x14ac:dyDescent="0.3">
      <c r="B173" s="390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6"/>
        <v>6166985</v>
      </c>
      <c r="I173" s="16"/>
      <c r="J173" s="479">
        <f t="shared" si="117"/>
        <v>5.5406779450983563E-3</v>
      </c>
      <c r="K173" s="16"/>
      <c r="L173" s="16"/>
      <c r="M173" s="16"/>
      <c r="N173" s="16">
        <f t="shared" si="118"/>
        <v>298467</v>
      </c>
      <c r="O173" s="16">
        <f t="shared" si="138"/>
        <v>37603.567073170729</v>
      </c>
      <c r="P173" s="41"/>
      <c r="Q173" s="17">
        <f t="shared" si="119"/>
        <v>298467</v>
      </c>
      <c r="R173" s="16"/>
      <c r="S173" s="60">
        <f t="shared" si="120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1"/>
        <v>187198</v>
      </c>
      <c r="AB173" s="33"/>
      <c r="AC173" s="46">
        <f t="shared" si="122"/>
        <v>3.0354865465053019E-2</v>
      </c>
      <c r="AD173" s="33"/>
      <c r="AE173" s="33">
        <f t="shared" si="123"/>
        <v>1141.4512195121952</v>
      </c>
      <c r="AF173" s="50"/>
      <c r="AG173" s="33">
        <f t="shared" si="124"/>
        <v>6651</v>
      </c>
      <c r="AH173" s="33">
        <f t="shared" si="112"/>
        <v>412071424.35152841</v>
      </c>
      <c r="AI173" s="231">
        <f t="shared" si="125"/>
        <v>-3.6366270646189511E-2</v>
      </c>
      <c r="AJ173" s="50"/>
      <c r="AK173" s="10"/>
      <c r="AL173" s="23">
        <f t="shared" si="126"/>
        <v>16924</v>
      </c>
      <c r="AM173" s="24"/>
      <c r="AN173" s="24"/>
      <c r="AO173" s="24">
        <v>178263</v>
      </c>
      <c r="AP173" s="24">
        <v>3425723</v>
      </c>
      <c r="AQ173" s="24"/>
      <c r="AR173" s="504">
        <f t="shared" si="127"/>
        <v>4.9647984524754905E-3</v>
      </c>
      <c r="AS173" s="25"/>
      <c r="AT173" s="25"/>
      <c r="AU173" s="24"/>
      <c r="AV173" s="341">
        <f t="shared" si="128"/>
        <v>0.55549397314895366</v>
      </c>
      <c r="AW173" s="341"/>
      <c r="AX173" s="24">
        <f t="shared" si="129"/>
        <v>20888.554878048781</v>
      </c>
      <c r="AY173" s="351"/>
      <c r="AZ173" s="391"/>
      <c r="BA173" s="66">
        <f t="shared" si="130"/>
        <v>727682</v>
      </c>
      <c r="BB173" s="67"/>
      <c r="BC173" s="67">
        <v>81830079</v>
      </c>
      <c r="BD173" s="67"/>
      <c r="BE173" s="67">
        <f t="shared" si="131"/>
        <v>33981</v>
      </c>
      <c r="BF173" s="67"/>
      <c r="BG173" s="156">
        <f t="shared" si="132"/>
        <v>4.6697595927891578E-2</v>
      </c>
      <c r="BH173" s="67"/>
      <c r="BI173" s="183"/>
      <c r="BJ173" s="67"/>
      <c r="BK173" s="67">
        <f t="shared" si="133"/>
        <v>5670701</v>
      </c>
      <c r="BL173" s="67"/>
      <c r="BM173" s="156">
        <f t="shared" si="134"/>
        <v>5.2633175334054823E-2</v>
      </c>
      <c r="BN173" s="66">
        <f t="shared" si="135"/>
        <v>498963.89634146343</v>
      </c>
      <c r="BO173" s="67"/>
      <c r="BP173" s="67">
        <f t="shared" si="136"/>
        <v>5880463</v>
      </c>
      <c r="BQ173" s="67"/>
      <c r="BR173" s="478">
        <f t="shared" si="137"/>
        <v>7.1861876120148924E-2</v>
      </c>
      <c r="BS173" s="67"/>
      <c r="BT173" s="86"/>
      <c r="BU173" s="183"/>
      <c r="BV173" s="1"/>
      <c r="BW173" s="61">
        <f t="shared" si="53"/>
        <v>164</v>
      </c>
    </row>
    <row r="174" spans="2:75" x14ac:dyDescent="0.3">
      <c r="B174" s="171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6"/>
        <v>6205545</v>
      </c>
      <c r="I174" s="16"/>
      <c r="J174" s="479">
        <f t="shared" si="117"/>
        <v>6.2526502010301632E-3</v>
      </c>
      <c r="K174" s="16"/>
      <c r="L174" s="16"/>
      <c r="M174" s="16"/>
      <c r="N174" s="16">
        <f t="shared" si="118"/>
        <v>295543</v>
      </c>
      <c r="O174" s="16">
        <f t="shared" si="138"/>
        <v>37609.36363636364</v>
      </c>
      <c r="P174" s="41"/>
      <c r="Q174" s="17">
        <f t="shared" si="119"/>
        <v>295543</v>
      </c>
      <c r="R174" s="16"/>
      <c r="S174" s="60">
        <f t="shared" si="120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1"/>
        <v>187710</v>
      </c>
      <c r="AB174" s="33"/>
      <c r="AC174" s="46">
        <f t="shared" si="122"/>
        <v>3.0248753332704863E-2</v>
      </c>
      <c r="AD174" s="33"/>
      <c r="AE174" s="33">
        <f t="shared" si="123"/>
        <v>1137.6363636363637</v>
      </c>
      <c r="AF174" s="50"/>
      <c r="AG174" s="33">
        <f t="shared" si="124"/>
        <v>6653</v>
      </c>
      <c r="AH174" s="33">
        <f t="shared" si="112"/>
        <v>412012883.35152841</v>
      </c>
      <c r="AI174" s="231">
        <f t="shared" si="125"/>
        <v>-2.4915726220137768E-2</v>
      </c>
      <c r="AJ174" s="50"/>
      <c r="AK174" s="10"/>
      <c r="AL174" s="23">
        <f t="shared" si="126"/>
        <v>30540</v>
      </c>
      <c r="AM174" s="24"/>
      <c r="AN174" s="24"/>
      <c r="AO174" s="24">
        <v>178263</v>
      </c>
      <c r="AP174" s="24">
        <v>3456263</v>
      </c>
      <c r="AQ174" s="24"/>
      <c r="AR174" s="504">
        <f t="shared" si="127"/>
        <v>8.9149064299711336E-3</v>
      </c>
      <c r="AS174" s="25"/>
      <c r="AT174" s="25"/>
      <c r="AU174" s="24"/>
      <c r="AV174" s="341">
        <f t="shared" si="128"/>
        <v>0.55696365105723988</v>
      </c>
      <c r="AW174" s="341"/>
      <c r="AX174" s="24">
        <f t="shared" si="129"/>
        <v>20947.048484848485</v>
      </c>
      <c r="AY174" s="351"/>
      <c r="AZ174" s="10"/>
      <c r="BA174" s="66">
        <f t="shared" si="130"/>
        <v>794762</v>
      </c>
      <c r="BB174" s="67"/>
      <c r="BC174" s="67">
        <v>82624841</v>
      </c>
      <c r="BD174" s="67"/>
      <c r="BE174" s="67">
        <f t="shared" si="131"/>
        <v>38560</v>
      </c>
      <c r="BF174" s="67"/>
      <c r="BG174" s="156">
        <f t="shared" si="132"/>
        <v>4.8517669440662742E-2</v>
      </c>
      <c r="BH174" s="67"/>
      <c r="BI174" s="183"/>
      <c r="BJ174" s="67"/>
      <c r="BK174" s="67">
        <f t="shared" si="133"/>
        <v>5741362</v>
      </c>
      <c r="BL174" s="67"/>
      <c r="BM174" s="156">
        <f t="shared" si="134"/>
        <v>5.147611315921205E-2</v>
      </c>
      <c r="BN174" s="66">
        <f t="shared" si="135"/>
        <v>500756.61212121212</v>
      </c>
      <c r="BO174" s="67"/>
      <c r="BP174" s="67">
        <f t="shared" si="136"/>
        <v>5919023</v>
      </c>
      <c r="BQ174" s="67"/>
      <c r="BR174" s="478">
        <f t="shared" si="137"/>
        <v>7.1637329988931533E-2</v>
      </c>
      <c r="BS174" s="67"/>
      <c r="BT174" s="86"/>
      <c r="BU174" s="183"/>
      <c r="BV174" s="1"/>
      <c r="BW174" s="61">
        <f t="shared" si="53"/>
        <v>165</v>
      </c>
    </row>
    <row r="175" spans="2:75" x14ac:dyDescent="0.3">
      <c r="B175" s="171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6"/>
        <v>6247524</v>
      </c>
      <c r="I175" s="16"/>
      <c r="J175" s="479">
        <f t="shared" si="117"/>
        <v>6.7647563590305122E-3</v>
      </c>
      <c r="K175" s="16"/>
      <c r="L175" s="16"/>
      <c r="M175" s="16"/>
      <c r="N175" s="16">
        <f t="shared" si="118"/>
        <v>297424</v>
      </c>
      <c r="O175" s="16">
        <f t="shared" si="138"/>
        <v>37635.686746987951</v>
      </c>
      <c r="P175" s="41"/>
      <c r="Q175" s="17">
        <f t="shared" si="119"/>
        <v>297424</v>
      </c>
      <c r="R175" s="16"/>
      <c r="S175" s="60">
        <f t="shared" si="120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1"/>
        <v>188874</v>
      </c>
      <c r="AB175" s="33"/>
      <c r="AC175" s="46">
        <f t="shared" si="122"/>
        <v>3.0231816636478708E-2</v>
      </c>
      <c r="AD175" s="33"/>
      <c r="AE175" s="33">
        <f t="shared" si="123"/>
        <v>1137.7951807228915</v>
      </c>
      <c r="AF175" s="50"/>
      <c r="AG175" s="33">
        <f t="shared" si="124"/>
        <v>6527</v>
      </c>
      <c r="AH175" s="33">
        <f t="shared" si="112"/>
        <v>411963845.35152841</v>
      </c>
      <c r="AI175" s="231">
        <f t="shared" si="125"/>
        <v>-3.3752775721687639E-2</v>
      </c>
      <c r="AJ175" s="50"/>
      <c r="AK175" s="10"/>
      <c r="AL175" s="23">
        <f t="shared" si="126"/>
        <v>40650</v>
      </c>
      <c r="AM175" s="24"/>
      <c r="AN175" s="24"/>
      <c r="AO175" s="24">
        <v>178263</v>
      </c>
      <c r="AP175" s="24">
        <v>3496913</v>
      </c>
      <c r="AQ175" s="24"/>
      <c r="AR175" s="504">
        <f t="shared" si="127"/>
        <v>1.1761257751507916E-2</v>
      </c>
      <c r="AS175" s="25"/>
      <c r="AT175" s="25"/>
      <c r="AU175" s="24"/>
      <c r="AV175" s="341">
        <f t="shared" si="128"/>
        <v>0.55972782177387392</v>
      </c>
      <c r="AW175" s="341"/>
      <c r="AX175" s="24">
        <f t="shared" si="129"/>
        <v>21065.74096385542</v>
      </c>
      <c r="AY175" s="351"/>
      <c r="AZ175" s="10"/>
      <c r="BA175" s="66">
        <f t="shared" si="130"/>
        <v>725278</v>
      </c>
      <c r="BB175" s="67"/>
      <c r="BC175" s="67">
        <v>83350119</v>
      </c>
      <c r="BD175" s="67"/>
      <c r="BE175" s="67">
        <f t="shared" si="131"/>
        <v>41979</v>
      </c>
      <c r="BF175" s="67"/>
      <c r="BG175" s="156">
        <f t="shared" si="132"/>
        <v>5.7879875027230937E-2</v>
      </c>
      <c r="BH175" s="67"/>
      <c r="BI175" s="183"/>
      <c r="BJ175" s="67"/>
      <c r="BK175" s="67">
        <f t="shared" si="133"/>
        <v>5418712</v>
      </c>
      <c r="BL175" s="67"/>
      <c r="BM175" s="156">
        <f t="shared" si="134"/>
        <v>5.4888320324091779E-2</v>
      </c>
      <c r="BN175" s="66">
        <f t="shared" si="135"/>
        <v>502109.15060240962</v>
      </c>
      <c r="BO175" s="67"/>
      <c r="BP175" s="67">
        <f t="shared" si="136"/>
        <v>5961002</v>
      </c>
      <c r="BQ175" s="67"/>
      <c r="BR175" s="478">
        <f t="shared" si="137"/>
        <v>7.1517618349171169E-2</v>
      </c>
      <c r="BS175" s="67"/>
      <c r="BT175" s="86"/>
      <c r="BU175" s="183"/>
      <c r="BV175" s="1"/>
      <c r="BW175" s="61">
        <f t="shared" si="53"/>
        <v>166</v>
      </c>
    </row>
    <row r="176" spans="2:75" x14ac:dyDescent="0.3">
      <c r="B176" s="171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6"/>
        <v>6288735</v>
      </c>
      <c r="I176" s="16"/>
      <c r="J176" s="479">
        <f t="shared" si="117"/>
        <v>6.5963732192145241E-3</v>
      </c>
      <c r="K176" s="16"/>
      <c r="L176" s="16"/>
      <c r="M176" s="16"/>
      <c r="N176" s="16">
        <f t="shared" si="118"/>
        <v>293998</v>
      </c>
      <c r="O176" s="16">
        <f t="shared" si="138"/>
        <v>37657.09580838323</v>
      </c>
      <c r="P176" s="41"/>
      <c r="Q176" s="17">
        <f t="shared" si="119"/>
        <v>293998</v>
      </c>
      <c r="R176" s="16"/>
      <c r="S176" s="60">
        <f t="shared" si="120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1"/>
        <v>189964</v>
      </c>
      <c r="AB176" s="33"/>
      <c r="AC176" s="46">
        <f t="shared" si="122"/>
        <v>3.0207028917580404E-2</v>
      </c>
      <c r="AD176" s="33"/>
      <c r="AE176" s="33">
        <f t="shared" si="123"/>
        <v>1137.5089820359281</v>
      </c>
      <c r="AF176" s="50"/>
      <c r="AG176" s="33">
        <f t="shared" si="124"/>
        <v>6337</v>
      </c>
      <c r="AH176" s="33">
        <f t="shared" si="112"/>
        <v>411915199.35152841</v>
      </c>
      <c r="AI176" s="231">
        <f t="shared" si="125"/>
        <v>-6.1324248259517107E-2</v>
      </c>
      <c r="AJ176" s="50"/>
      <c r="AK176" s="10"/>
      <c r="AL176" s="23">
        <f t="shared" si="126"/>
        <v>50119</v>
      </c>
      <c r="AM176" s="24"/>
      <c r="AN176" s="24"/>
      <c r="AO176" s="24">
        <v>178263</v>
      </c>
      <c r="AP176" s="24">
        <v>3547032</v>
      </c>
      <c r="AQ176" s="24"/>
      <c r="AR176" s="504">
        <f t="shared" si="127"/>
        <v>1.4332355423197546E-2</v>
      </c>
      <c r="AS176" s="25"/>
      <c r="AT176" s="25"/>
      <c r="AU176" s="24"/>
      <c r="AV176" s="341">
        <f t="shared" si="128"/>
        <v>0.56402949082764653</v>
      </c>
      <c r="AW176" s="341"/>
      <c r="AX176" s="24">
        <f t="shared" si="129"/>
        <v>21239.712574850299</v>
      </c>
      <c r="AY176" s="351"/>
      <c r="AZ176" s="10"/>
      <c r="BA176" s="66">
        <f t="shared" si="130"/>
        <v>748292</v>
      </c>
      <c r="BB176" s="67"/>
      <c r="BC176" s="67">
        <v>84098411</v>
      </c>
      <c r="BD176" s="67"/>
      <c r="BE176" s="67">
        <f t="shared" si="131"/>
        <v>41211</v>
      </c>
      <c r="BF176" s="67"/>
      <c r="BG176" s="156">
        <f t="shared" si="132"/>
        <v>5.5073420536368156E-2</v>
      </c>
      <c r="BH176" s="67"/>
      <c r="BI176" s="183"/>
      <c r="BJ176" s="67"/>
      <c r="BK176" s="67">
        <f t="shared" si="133"/>
        <v>5465845</v>
      </c>
      <c r="BL176" s="67"/>
      <c r="BM176" s="156">
        <f t="shared" si="134"/>
        <v>5.3788206581050137E-2</v>
      </c>
      <c r="BN176" s="66">
        <f t="shared" si="135"/>
        <v>503583.29940119758</v>
      </c>
      <c r="BO176" s="67"/>
      <c r="BP176" s="67">
        <f t="shared" si="136"/>
        <v>6002213</v>
      </c>
      <c r="BQ176" s="67"/>
      <c r="BR176" s="478">
        <f t="shared" si="137"/>
        <v>7.137130093932452E-2</v>
      </c>
      <c r="BS176" s="67"/>
      <c r="BT176" s="86"/>
      <c r="BU176" s="183"/>
      <c r="BV176" s="1"/>
      <c r="BW176" s="61">
        <f t="shared" si="53"/>
        <v>167</v>
      </c>
    </row>
    <row r="177" spans="2:85" x14ac:dyDescent="0.3">
      <c r="B177" s="171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6"/>
        <v>6334199</v>
      </c>
      <c r="I177" s="16"/>
      <c r="J177" s="479">
        <f t="shared" si="117"/>
        <v>7.229434854545469E-3</v>
      </c>
      <c r="K177" s="16"/>
      <c r="L177" s="16"/>
      <c r="M177" s="16"/>
      <c r="N177" s="16">
        <f t="shared" si="118"/>
        <v>293456</v>
      </c>
      <c r="O177" s="16">
        <f t="shared" si="138"/>
        <v>37703.565476190473</v>
      </c>
      <c r="P177" s="41"/>
      <c r="Q177" s="17">
        <f t="shared" si="119"/>
        <v>293456</v>
      </c>
      <c r="R177" s="16"/>
      <c r="S177" s="60">
        <f t="shared" si="120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1"/>
        <v>191078</v>
      </c>
      <c r="AB177" s="33"/>
      <c r="AC177" s="46">
        <f t="shared" si="122"/>
        <v>3.0166087298488728E-2</v>
      </c>
      <c r="AD177" s="33"/>
      <c r="AE177" s="33">
        <f t="shared" si="123"/>
        <v>1137.3690476190477</v>
      </c>
      <c r="AF177" s="50"/>
      <c r="AG177" s="33">
        <f t="shared" si="124"/>
        <v>6308</v>
      </c>
      <c r="AH177" s="33">
        <f t="shared" si="112"/>
        <v>411860635.35152841</v>
      </c>
      <c r="AI177" s="231">
        <f t="shared" si="125"/>
        <v>-7.1943504487273796E-2</v>
      </c>
      <c r="AJ177" s="50"/>
      <c r="AK177" s="10"/>
      <c r="AL177" s="23">
        <f t="shared" si="126"/>
        <v>28064</v>
      </c>
      <c r="AM177" s="24"/>
      <c r="AN177" s="24"/>
      <c r="AO177" s="24">
        <v>178263</v>
      </c>
      <c r="AP177" s="24">
        <v>3575096</v>
      </c>
      <c r="AQ177" s="24"/>
      <c r="AR177" s="504">
        <f t="shared" si="127"/>
        <v>7.9119669628015758E-3</v>
      </c>
      <c r="AS177" s="25"/>
      <c r="AT177" s="25"/>
      <c r="AU177" s="24"/>
      <c r="AV177" s="341">
        <f t="shared" si="128"/>
        <v>0.56441169593819207</v>
      </c>
      <c r="AW177" s="341"/>
      <c r="AX177" s="24">
        <f t="shared" si="129"/>
        <v>21280.333333333332</v>
      </c>
      <c r="AY177" s="351"/>
      <c r="AZ177" s="10"/>
      <c r="BA177" s="66">
        <f t="shared" si="130"/>
        <v>783118</v>
      </c>
      <c r="BB177" s="67"/>
      <c r="BC177" s="67">
        <v>84881529</v>
      </c>
      <c r="BD177" s="67"/>
      <c r="BE177" s="67">
        <f t="shared" si="131"/>
        <v>45464</v>
      </c>
      <c r="BF177" s="67"/>
      <c r="BG177" s="156">
        <f t="shared" si="132"/>
        <v>5.8055107914771462E-2</v>
      </c>
      <c r="BH177" s="67"/>
      <c r="BI177" s="183"/>
      <c r="BJ177" s="67"/>
      <c r="BK177" s="67">
        <f t="shared" si="133"/>
        <v>5409043</v>
      </c>
      <c r="BL177" s="67"/>
      <c r="BM177" s="156">
        <f t="shared" si="134"/>
        <v>5.4252850273144436E-2</v>
      </c>
      <c r="BN177" s="66">
        <f t="shared" si="135"/>
        <v>505247.19642857142</v>
      </c>
      <c r="BO177" s="67"/>
      <c r="BP177" s="67">
        <f t="shared" si="136"/>
        <v>6047677</v>
      </c>
      <c r="BQ177" s="67"/>
      <c r="BR177" s="478">
        <f t="shared" si="137"/>
        <v>7.1248445583490846E-2</v>
      </c>
      <c r="BS177" s="67"/>
      <c r="BT177" s="86"/>
      <c r="BU177" s="183"/>
      <c r="BV177" s="1"/>
      <c r="BW177" s="61">
        <f t="shared" si="53"/>
        <v>168</v>
      </c>
    </row>
    <row r="178" spans="2:85" x14ac:dyDescent="0.3">
      <c r="B178" s="171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6"/>
        <v>6387048</v>
      </c>
      <c r="I178" s="16"/>
      <c r="J178" s="479">
        <f t="shared" si="117"/>
        <v>8.3434385310597291E-3</v>
      </c>
      <c r="K178" s="16"/>
      <c r="L178" s="16"/>
      <c r="M178" s="16"/>
      <c r="N178" s="16">
        <f t="shared" si="118"/>
        <v>296704</v>
      </c>
      <c r="O178" s="16">
        <f t="shared" si="138"/>
        <v>37793.183431952661</v>
      </c>
      <c r="P178" s="41"/>
      <c r="Q178" s="17">
        <f t="shared" si="119"/>
        <v>296704</v>
      </c>
      <c r="R178" s="16"/>
      <c r="S178" s="60">
        <f t="shared" si="120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1"/>
        <v>192111</v>
      </c>
      <c r="AB178" s="33"/>
      <c r="AC178" s="46">
        <f t="shared" si="122"/>
        <v>3.0078214536668584E-2</v>
      </c>
      <c r="AD178" s="33"/>
      <c r="AE178" s="33">
        <f t="shared" si="123"/>
        <v>1136.7514792899408</v>
      </c>
      <c r="AF178" s="50"/>
      <c r="AG178" s="33">
        <f t="shared" si="124"/>
        <v>6236</v>
      </c>
      <c r="AH178" s="33">
        <f t="shared" si="112"/>
        <v>411805487.35152841</v>
      </c>
      <c r="AI178" s="231">
        <f t="shared" si="125"/>
        <v>-7.3677956030897204E-2</v>
      </c>
      <c r="AJ178" s="50"/>
      <c r="AK178" s="10"/>
      <c r="AL178" s="23">
        <f t="shared" si="126"/>
        <v>101473</v>
      </c>
      <c r="AM178" s="24"/>
      <c r="AN178" s="24"/>
      <c r="AO178" s="24">
        <v>178263</v>
      </c>
      <c r="AP178" s="24">
        <v>3676569</v>
      </c>
      <c r="AQ178" s="24"/>
      <c r="AR178" s="504">
        <f t="shared" si="127"/>
        <v>2.8383293763300343E-2</v>
      </c>
      <c r="AS178" s="25"/>
      <c r="AT178" s="25"/>
      <c r="AU178" s="24"/>
      <c r="AV178" s="341">
        <f t="shared" si="128"/>
        <v>0.57562883510504381</v>
      </c>
      <c r="AW178" s="341"/>
      <c r="AX178" s="24">
        <f t="shared" si="129"/>
        <v>21754.846153846152</v>
      </c>
      <c r="AY178" s="351"/>
      <c r="AZ178" s="10"/>
      <c r="BA178" s="66">
        <f t="shared" si="130"/>
        <v>1014188</v>
      </c>
      <c r="BB178" s="67"/>
      <c r="BC178" s="67">
        <v>85895717</v>
      </c>
      <c r="BD178" s="67"/>
      <c r="BE178" s="67">
        <f t="shared" si="131"/>
        <v>52849</v>
      </c>
      <c r="BF178" s="67"/>
      <c r="BG178" s="156">
        <f t="shared" si="132"/>
        <v>5.2109668029990494E-2</v>
      </c>
      <c r="BH178" s="67"/>
      <c r="BI178" s="183"/>
      <c r="BJ178" s="67"/>
      <c r="BK178" s="67">
        <f t="shared" si="133"/>
        <v>5596047</v>
      </c>
      <c r="BL178" s="67"/>
      <c r="BM178" s="156">
        <f t="shared" si="134"/>
        <v>5.3020283782462874E-2</v>
      </c>
      <c r="BN178" s="66">
        <f t="shared" si="135"/>
        <v>508258.68047337281</v>
      </c>
      <c r="BO178" s="67"/>
      <c r="BP178" s="67">
        <f t="shared" si="136"/>
        <v>6100526</v>
      </c>
      <c r="BQ178" s="67"/>
      <c r="BR178" s="478">
        <f t="shared" si="137"/>
        <v>7.1022470189054943E-2</v>
      </c>
      <c r="BS178" s="67"/>
      <c r="BT178" s="86"/>
      <c r="BU178" s="183"/>
      <c r="BV178" s="1"/>
      <c r="BW178" s="61">
        <f t="shared" si="53"/>
        <v>169</v>
      </c>
    </row>
    <row r="179" spans="2:85" x14ac:dyDescent="0.3">
      <c r="B179" s="171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6"/>
        <v>6429140</v>
      </c>
      <c r="I179" s="16"/>
      <c r="J179" s="479">
        <f t="shared" si="117"/>
        <v>6.5902119414164417E-3</v>
      </c>
      <c r="K179" s="16"/>
      <c r="L179" s="16"/>
      <c r="M179" s="16"/>
      <c r="N179" s="16">
        <f t="shared" si="118"/>
        <v>296136</v>
      </c>
      <c r="O179" s="16">
        <f t="shared" si="138"/>
        <v>37818.470588235294</v>
      </c>
      <c r="P179" s="41"/>
      <c r="Q179" s="17">
        <f t="shared" si="119"/>
        <v>296136</v>
      </c>
      <c r="R179" s="16"/>
      <c r="S179" s="60">
        <f t="shared" si="120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1"/>
        <v>192818</v>
      </c>
      <c r="AB179" s="33"/>
      <c r="AC179" s="46">
        <f t="shared" si="122"/>
        <v>2.9991258550910387E-2</v>
      </c>
      <c r="AD179" s="33"/>
      <c r="AE179" s="33">
        <f t="shared" si="123"/>
        <v>1134.2235294117647</v>
      </c>
      <c r="AF179" s="50"/>
      <c r="AG179" s="33">
        <f t="shared" si="124"/>
        <v>5989</v>
      </c>
      <c r="AH179" s="33">
        <f t="shared" si="112"/>
        <v>411746777.35152841</v>
      </c>
      <c r="AI179" s="231">
        <f t="shared" si="125"/>
        <v>-0.10771752085816448</v>
      </c>
      <c r="AJ179" s="50"/>
      <c r="AK179" s="10"/>
      <c r="AL179" s="23">
        <f t="shared" si="126"/>
        <v>30431</v>
      </c>
      <c r="AM179" s="24"/>
      <c r="AN179" s="24"/>
      <c r="AO179" s="24">
        <v>178263</v>
      </c>
      <c r="AP179" s="24">
        <v>3707000</v>
      </c>
      <c r="AQ179" s="24"/>
      <c r="AR179" s="504">
        <f t="shared" si="127"/>
        <v>8.2770104409845158E-3</v>
      </c>
      <c r="AS179" s="25"/>
      <c r="AT179" s="25"/>
      <c r="AU179" s="24"/>
      <c r="AV179" s="341">
        <f t="shared" si="128"/>
        <v>0.57659344795726952</v>
      </c>
      <c r="AW179" s="341"/>
      <c r="AX179" s="24">
        <f t="shared" si="129"/>
        <v>21805.882352941175</v>
      </c>
      <c r="AY179" s="351"/>
      <c r="AZ179" s="10"/>
      <c r="BA179" s="66">
        <f t="shared" si="130"/>
        <v>863485</v>
      </c>
      <c r="BB179" s="67"/>
      <c r="BC179" s="67">
        <v>86759202</v>
      </c>
      <c r="BD179" s="67"/>
      <c r="BE179" s="67">
        <f t="shared" si="131"/>
        <v>42092</v>
      </c>
      <c r="BF179" s="67"/>
      <c r="BG179" s="156">
        <f t="shared" si="132"/>
        <v>4.8746648754755435E-2</v>
      </c>
      <c r="BH179" s="67"/>
      <c r="BI179" s="183"/>
      <c r="BJ179" s="67"/>
      <c r="BK179" s="67">
        <f t="shared" si="133"/>
        <v>5656805</v>
      </c>
      <c r="BL179" s="67"/>
      <c r="BM179" s="156">
        <f t="shared" si="134"/>
        <v>5.2350399209447736E-2</v>
      </c>
      <c r="BN179" s="66">
        <f t="shared" si="135"/>
        <v>510348.24705882353</v>
      </c>
      <c r="BO179" s="67"/>
      <c r="BP179" s="67">
        <f t="shared" si="136"/>
        <v>6142618</v>
      </c>
      <c r="BQ179" s="67"/>
      <c r="BR179" s="478">
        <f t="shared" si="137"/>
        <v>7.0800766470858048E-2</v>
      </c>
      <c r="BS179" s="67"/>
      <c r="BT179" s="86"/>
      <c r="BU179" s="183"/>
      <c r="BV179" s="1"/>
      <c r="BW179" s="61">
        <f t="shared" si="53"/>
        <v>170</v>
      </c>
    </row>
    <row r="180" spans="2:85" x14ac:dyDescent="0.3">
      <c r="B180" s="390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6"/>
        <v>6460250</v>
      </c>
      <c r="I180" s="16"/>
      <c r="J180" s="479">
        <f t="shared" si="117"/>
        <v>4.8389053590371343E-3</v>
      </c>
      <c r="K180" s="16"/>
      <c r="L180" s="16"/>
      <c r="M180" s="16"/>
      <c r="N180" s="16">
        <f t="shared" si="118"/>
        <v>293265</v>
      </c>
      <c r="O180" s="16">
        <f t="shared" si="138"/>
        <v>37779.239766081868</v>
      </c>
      <c r="P180" s="41"/>
      <c r="Q180" s="17">
        <f t="shared" si="119"/>
        <v>293265</v>
      </c>
      <c r="R180" s="16"/>
      <c r="S180" s="60">
        <f t="shared" si="120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1"/>
        <v>193248</v>
      </c>
      <c r="AB180" s="33"/>
      <c r="AC180" s="46">
        <f t="shared" si="122"/>
        <v>2.9913393444526142E-2</v>
      </c>
      <c r="AD180" s="33"/>
      <c r="AE180" s="33">
        <f t="shared" si="123"/>
        <v>1130.1052631578948</v>
      </c>
      <c r="AF180" s="50"/>
      <c r="AG180" s="33">
        <f t="shared" si="124"/>
        <v>6050</v>
      </c>
      <c r="AH180" s="33">
        <f t="shared" si="112"/>
        <v>411683531.35152841</v>
      </c>
      <c r="AI180" s="231">
        <f t="shared" si="125"/>
        <v>-9.0362351526086307E-2</v>
      </c>
      <c r="AJ180" s="50"/>
      <c r="AK180" s="10"/>
      <c r="AL180" s="23">
        <f t="shared" si="126"/>
        <v>18970</v>
      </c>
      <c r="AM180" s="24"/>
      <c r="AN180" s="24"/>
      <c r="AO180" s="24">
        <v>178263</v>
      </c>
      <c r="AP180" s="24">
        <v>3725970</v>
      </c>
      <c r="AQ180" s="24"/>
      <c r="AR180" s="504">
        <f t="shared" si="127"/>
        <v>5.1173455624494201E-3</v>
      </c>
      <c r="AS180" s="25"/>
      <c r="AT180" s="25"/>
      <c r="AU180" s="24"/>
      <c r="AV180" s="341">
        <f t="shared" si="128"/>
        <v>0.57675322162455012</v>
      </c>
      <c r="AW180" s="341"/>
      <c r="AX180" s="24">
        <f t="shared" si="129"/>
        <v>21789.298245614034</v>
      </c>
      <c r="AY180" s="351"/>
      <c r="AZ180" s="10"/>
      <c r="BA180" s="66">
        <f t="shared" si="130"/>
        <v>715717</v>
      </c>
      <c r="BB180" s="67"/>
      <c r="BC180" s="67">
        <v>87474919</v>
      </c>
      <c r="BD180" s="67"/>
      <c r="BE180" s="67">
        <f t="shared" si="131"/>
        <v>31110</v>
      </c>
      <c r="BF180" s="67"/>
      <c r="BG180" s="156">
        <f t="shared" si="132"/>
        <v>4.3466901023728653E-2</v>
      </c>
      <c r="BH180" s="67"/>
      <c r="BI180" s="183"/>
      <c r="BJ180" s="67"/>
      <c r="BK180" s="67">
        <f t="shared" si="133"/>
        <v>5644840</v>
      </c>
      <c r="BL180" s="67"/>
      <c r="BM180" s="156">
        <f t="shared" si="134"/>
        <v>5.1952756854047238E-2</v>
      </c>
      <c r="BN180" s="66">
        <f t="shared" si="135"/>
        <v>511549.23391812865</v>
      </c>
      <c r="BO180" s="67"/>
      <c r="BP180" s="67">
        <f t="shared" si="136"/>
        <v>6173728</v>
      </c>
      <c r="BQ180" s="67"/>
      <c r="BR180" s="478">
        <f t="shared" si="137"/>
        <v>7.0577121654722533E-2</v>
      </c>
      <c r="BS180" s="67"/>
      <c r="BT180" s="86"/>
      <c r="BU180" s="183"/>
      <c r="BV180" s="1"/>
      <c r="BW180" s="61">
        <f t="shared" si="53"/>
        <v>171</v>
      </c>
    </row>
    <row r="181" spans="2:85" x14ac:dyDescent="0.3">
      <c r="B181" s="171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6"/>
        <v>6485670</v>
      </c>
      <c r="I181" s="16"/>
      <c r="J181" s="479">
        <f t="shared" si="117"/>
        <v>3.9348322433342365E-3</v>
      </c>
      <c r="K181" s="16"/>
      <c r="L181" s="16"/>
      <c r="M181" s="16"/>
      <c r="N181" s="16">
        <f t="shared" si="118"/>
        <v>280125</v>
      </c>
      <c r="O181" s="16">
        <f t="shared" si="138"/>
        <v>37707.383720930229</v>
      </c>
      <c r="P181" s="41"/>
      <c r="Q181" s="17">
        <f t="shared" si="119"/>
        <v>280125</v>
      </c>
      <c r="R181" s="16"/>
      <c r="S181" s="60">
        <f t="shared" si="120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1"/>
        <v>193534</v>
      </c>
      <c r="AB181" s="33"/>
      <c r="AC181" s="46">
        <f t="shared" si="122"/>
        <v>2.9840247807859481E-2</v>
      </c>
      <c r="AD181" s="33"/>
      <c r="AE181" s="33">
        <f t="shared" si="123"/>
        <v>1125.1976744186047</v>
      </c>
      <c r="AF181" s="50"/>
      <c r="AG181" s="33">
        <f t="shared" si="124"/>
        <v>5824</v>
      </c>
      <c r="AH181" s="33">
        <f t="shared" si="112"/>
        <v>411629332.35152841</v>
      </c>
      <c r="AI181" s="231">
        <f t="shared" si="125"/>
        <v>-0.12460544115436645</v>
      </c>
      <c r="AJ181" s="50"/>
      <c r="AK181" s="10"/>
      <c r="AL181" s="23">
        <f t="shared" si="126"/>
        <v>32659</v>
      </c>
      <c r="AM181" s="24"/>
      <c r="AN181" s="24"/>
      <c r="AO181" s="24">
        <v>178263</v>
      </c>
      <c r="AP181" s="24">
        <v>3758629</v>
      </c>
      <c r="AQ181" s="24"/>
      <c r="AR181" s="504">
        <f t="shared" si="127"/>
        <v>8.7652342879840691E-3</v>
      </c>
      <c r="AS181" s="25"/>
      <c r="AT181" s="25"/>
      <c r="AU181" s="24"/>
      <c r="AV181" s="341">
        <f t="shared" si="128"/>
        <v>0.57952825228542304</v>
      </c>
      <c r="AW181" s="341"/>
      <c r="AX181" s="24">
        <f t="shared" si="129"/>
        <v>21852.494186046511</v>
      </c>
      <c r="AY181" s="351"/>
      <c r="AZ181" s="10"/>
      <c r="BA181" s="66">
        <f t="shared" si="130"/>
        <v>592931</v>
      </c>
      <c r="BB181" s="67"/>
      <c r="BC181" s="67">
        <v>88067850</v>
      </c>
      <c r="BD181" s="67"/>
      <c r="BE181" s="67">
        <f t="shared" si="131"/>
        <v>25420</v>
      </c>
      <c r="BF181" s="67"/>
      <c r="BG181" s="156">
        <f t="shared" si="132"/>
        <v>4.2871767541248475E-2</v>
      </c>
      <c r="BH181" s="67"/>
      <c r="BI181" s="183"/>
      <c r="BJ181" s="67"/>
      <c r="BK181" s="67">
        <f t="shared" si="133"/>
        <v>5443009</v>
      </c>
      <c r="BL181" s="67"/>
      <c r="BM181" s="156">
        <f t="shared" si="134"/>
        <v>5.1465099543285708E-2</v>
      </c>
      <c r="BN181" s="66">
        <f t="shared" si="135"/>
        <v>512022.38372093026</v>
      </c>
      <c r="BO181" s="67"/>
      <c r="BP181" s="67">
        <f t="shared" si="136"/>
        <v>6199148</v>
      </c>
      <c r="BQ181" s="67"/>
      <c r="BR181" s="478">
        <f t="shared" si="137"/>
        <v>7.0390590891000512E-2</v>
      </c>
      <c r="BS181" s="67"/>
      <c r="BT181" s="86"/>
      <c r="BU181" s="183"/>
      <c r="BV181" s="1"/>
      <c r="BW181" s="61">
        <f t="shared" si="53"/>
        <v>172</v>
      </c>
    </row>
    <row r="182" spans="2:85" x14ac:dyDescent="0.3">
      <c r="B182" s="171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6"/>
        <v>6514109</v>
      </c>
      <c r="I182" s="16"/>
      <c r="J182" s="479">
        <f t="shared" si="117"/>
        <v>4.3848977823416858E-3</v>
      </c>
      <c r="K182" s="16"/>
      <c r="L182" s="16"/>
      <c r="M182" s="16"/>
      <c r="N182" s="16">
        <f t="shared" si="118"/>
        <v>266585</v>
      </c>
      <c r="O182" s="16">
        <f t="shared" si="138"/>
        <v>37653.809248554913</v>
      </c>
      <c r="P182" s="41"/>
      <c r="Q182" s="17">
        <f t="shared" si="119"/>
        <v>266585</v>
      </c>
      <c r="R182" s="16"/>
      <c r="S182" s="60">
        <f t="shared" si="120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1"/>
        <v>194030</v>
      </c>
      <c r="AB182" s="33"/>
      <c r="AC182" s="46">
        <f t="shared" si="122"/>
        <v>2.978611503123451E-2</v>
      </c>
      <c r="AD182" s="33"/>
      <c r="AE182" s="33">
        <f t="shared" si="123"/>
        <v>1121.5606936416184</v>
      </c>
      <c r="AF182" s="50"/>
      <c r="AG182" s="33">
        <f t="shared" si="124"/>
        <v>5156</v>
      </c>
      <c r="AH182" s="33">
        <f t="shared" si="112"/>
        <v>411581483.35152841</v>
      </c>
      <c r="AI182" s="231">
        <f t="shared" si="125"/>
        <v>-0.21005055921556612</v>
      </c>
      <c r="AJ182" s="50"/>
      <c r="AK182" s="10"/>
      <c r="AL182" s="23">
        <f t="shared" si="126"/>
        <v>38131</v>
      </c>
      <c r="AM182" s="24"/>
      <c r="AN182" s="24"/>
      <c r="AO182" s="24">
        <v>178263</v>
      </c>
      <c r="AP182" s="24">
        <v>3796760</v>
      </c>
      <c r="AQ182" s="24"/>
      <c r="AR182" s="504">
        <f t="shared" si="127"/>
        <v>1.0144922523611669E-2</v>
      </c>
      <c r="AS182" s="25"/>
      <c r="AT182" s="25"/>
      <c r="AU182" s="24"/>
      <c r="AV182" s="341">
        <f t="shared" si="128"/>
        <v>0.58285177604488969</v>
      </c>
      <c r="AW182" s="341"/>
      <c r="AX182" s="24">
        <f t="shared" si="129"/>
        <v>21946.589595375721</v>
      </c>
      <c r="AY182" s="351"/>
      <c r="AZ182" s="10"/>
      <c r="BA182" s="66">
        <f t="shared" si="130"/>
        <v>589124</v>
      </c>
      <c r="BB182" s="67"/>
      <c r="BC182" s="67">
        <v>88656974</v>
      </c>
      <c r="BD182" s="67"/>
      <c r="BE182" s="67">
        <f t="shared" si="131"/>
        <v>28439</v>
      </c>
      <c r="BF182" s="67"/>
      <c r="BG182" s="156">
        <f t="shared" si="132"/>
        <v>4.8273368594727084E-2</v>
      </c>
      <c r="BH182" s="67"/>
      <c r="BI182" s="183"/>
      <c r="BJ182" s="67"/>
      <c r="BK182" s="67">
        <f t="shared" si="133"/>
        <v>5306855</v>
      </c>
      <c r="BL182" s="67"/>
      <c r="BM182" s="156">
        <f t="shared" si="134"/>
        <v>5.0234084029052987E-2</v>
      </c>
      <c r="BN182" s="66">
        <f t="shared" si="135"/>
        <v>512468.0578034682</v>
      </c>
      <c r="BO182" s="67"/>
      <c r="BP182" s="67">
        <f t="shared" si="136"/>
        <v>6227587</v>
      </c>
      <c r="BQ182" s="67"/>
      <c r="BR182" s="478">
        <f t="shared" si="137"/>
        <v>7.0243622346054801E-2</v>
      </c>
      <c r="BS182" s="67"/>
      <c r="BT182" s="86"/>
      <c r="BU182" s="183"/>
      <c r="BV182" s="1"/>
      <c r="BW182" s="61">
        <f t="shared" si="53"/>
        <v>173</v>
      </c>
    </row>
    <row r="183" spans="2:85" x14ac:dyDescent="0.3">
      <c r="B183" s="171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" si="139">+H182+D183</f>
        <v>6549352</v>
      </c>
      <c r="I183" s="16"/>
      <c r="J183" s="479">
        <f t="shared" ref="J183" si="140">+D183/H182</f>
        <v>5.410256414192639E-3</v>
      </c>
      <c r="K183" s="16"/>
      <c r="L183" s="16"/>
      <c r="M183" s="16"/>
      <c r="N183" s="16">
        <f t="shared" ref="N183" si="141">SUM(D177:D183)</f>
        <v>260617</v>
      </c>
      <c r="O183" s="16">
        <f t="shared" ref="O183" si="142">+H183/BW183</f>
        <v>37639.954022988502</v>
      </c>
      <c r="P183" s="41"/>
      <c r="Q183" s="17">
        <f t="shared" ref="Q183" si="143">SUM(D177:D183)</f>
        <v>260617</v>
      </c>
      <c r="R183" s="16"/>
      <c r="S183" s="60">
        <f t="shared" ref="S183" si="144"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" si="145">+AA182+W183</f>
        <v>195238</v>
      </c>
      <c r="AB183" s="33"/>
      <c r="AC183" s="46">
        <f t="shared" ref="AC183" si="146">+AA183/H183</f>
        <v>2.9810277413704438E-2</v>
      </c>
      <c r="AD183" s="33"/>
      <c r="AE183" s="33">
        <f t="shared" ref="AE183" si="147">+AA183/BW183</f>
        <v>1122.0574712643679</v>
      </c>
      <c r="AF183" s="50"/>
      <c r="AG183" s="33">
        <f t="shared" ref="AG183" si="148">SUM(W177:W183)</f>
        <v>5274</v>
      </c>
      <c r="AH183" s="33">
        <f t="shared" ref="AH183" si="149">SUM(D154:D241)</f>
        <v>411531683.35152841</v>
      </c>
      <c r="AI183" s="231">
        <f t="shared" ref="AI183" si="150">+(AG183-AG176)/AG176</f>
        <v>-0.16774498974278049</v>
      </c>
      <c r="AJ183" s="50"/>
      <c r="AK183" s="10"/>
      <c r="AL183" s="23">
        <f t="shared" ref="AL183" si="151">+AP183-AP182</f>
        <v>49335</v>
      </c>
      <c r="AM183" s="24"/>
      <c r="AN183" s="24"/>
      <c r="AO183" s="24">
        <v>178263</v>
      </c>
      <c r="AP183" s="24">
        <v>3846095</v>
      </c>
      <c r="AQ183" s="24"/>
      <c r="AR183" s="504">
        <f t="shared" ref="AR183" si="152">+AL183/AP182</f>
        <v>1.2993973809247885E-2</v>
      </c>
      <c r="AS183" s="25"/>
      <c r="AT183" s="25"/>
      <c r="AU183" s="24"/>
      <c r="AV183" s="341">
        <f t="shared" ref="AV183" si="153">+AP183/H183</f>
        <v>0.58724817355976588</v>
      </c>
      <c r="AW183" s="341"/>
      <c r="AX183" s="24">
        <f t="shared" ref="AX183" si="154">+AP183/BW183</f>
        <v>22103.994252873563</v>
      </c>
      <c r="AY183" s="351"/>
      <c r="AZ183" s="10"/>
      <c r="BA183" s="66">
        <f t="shared" ref="BA183" si="155">+BC183-BC182</f>
        <v>626098</v>
      </c>
      <c r="BB183" s="67"/>
      <c r="BC183" s="67">
        <v>89283072</v>
      </c>
      <c r="BD183" s="67"/>
      <c r="BE183" s="67">
        <f t="shared" ref="BE183" si="156">+D183</f>
        <v>35243</v>
      </c>
      <c r="BF183" s="67"/>
      <c r="BG183" s="156">
        <f t="shared" ref="BG183" si="157">+BE183/BA183</f>
        <v>5.6289909886311724E-2</v>
      </c>
      <c r="BH183" s="67"/>
      <c r="BI183" s="183"/>
      <c r="BJ183" s="67"/>
      <c r="BK183" s="67">
        <f t="shared" ref="BK183" si="158">SUM(BA177:BA183)</f>
        <v>5184661</v>
      </c>
      <c r="BL183" s="67"/>
      <c r="BM183" s="156">
        <f t="shared" ref="BM183" si="159">+Q183/BK183</f>
        <v>5.026693162773805E-2</v>
      </c>
      <c r="BN183" s="66">
        <f t="shared" ref="BN183" si="160">+BC183/BW183</f>
        <v>513121.10344827588</v>
      </c>
      <c r="BO183" s="67"/>
      <c r="BP183" s="67">
        <f t="shared" ref="BP183" si="161">+BP182+BE183</f>
        <v>6262830</v>
      </c>
      <c r="BQ183" s="67"/>
      <c r="BR183" s="478">
        <f t="shared" ref="BR183" si="162">+BP183/BC183</f>
        <v>7.0145771865914294E-2</v>
      </c>
      <c r="BS183" s="67"/>
      <c r="BT183" s="86"/>
      <c r="BU183" s="183"/>
      <c r="BV183" s="1"/>
      <c r="BW183" s="61">
        <f t="shared" si="53"/>
        <v>174</v>
      </c>
    </row>
    <row r="184" spans="2:85" x14ac:dyDescent="0.3">
      <c r="B184" s="171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ref="H184" si="163">+H183+D184</f>
        <v>6588163</v>
      </c>
      <c r="I184" s="16"/>
      <c r="J184" s="479">
        <f t="shared" ref="J184" si="164">+D184/H183</f>
        <v>5.9259297713728015E-3</v>
      </c>
      <c r="K184" s="16"/>
      <c r="L184" s="16"/>
      <c r="M184" s="16"/>
      <c r="N184" s="16">
        <f t="shared" ref="N184" si="165">SUM(D178:D184)</f>
        <v>253964</v>
      </c>
      <c r="O184" s="16">
        <f t="shared" ref="O184" si="166">+H184/BW184</f>
        <v>37646.645714285711</v>
      </c>
      <c r="P184" s="41"/>
      <c r="Q184" s="17">
        <f t="shared" ref="Q184" si="167">SUM(D178:D184)</f>
        <v>253964</v>
      </c>
      <c r="R184" s="16"/>
      <c r="S184" s="60">
        <f t="shared" ref="S184" si="168"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ref="AA184" si="169">+AA183+W184</f>
        <v>196327</v>
      </c>
      <c r="AB184" s="33"/>
      <c r="AC184" s="46">
        <f t="shared" ref="AC184" si="170">+AA184/H184</f>
        <v>2.9799960929928419E-2</v>
      </c>
      <c r="AD184" s="33"/>
      <c r="AE184" s="33">
        <f t="shared" ref="AE184" si="171">+AA184/BW184</f>
        <v>1121.8685714285714</v>
      </c>
      <c r="AF184" s="50"/>
      <c r="AG184" s="33">
        <f t="shared" ref="AG184" si="172">SUM(W178:W184)</f>
        <v>5249</v>
      </c>
      <c r="AH184" s="33">
        <f t="shared" ref="AH184" si="173">SUM(D155:D242)</f>
        <v>411477164.35152841</v>
      </c>
      <c r="AI184" s="231">
        <f t="shared" ref="AI184" si="174">+(AG184-AG177)/AG177</f>
        <v>-0.16788205453392518</v>
      </c>
      <c r="AJ184" s="50"/>
      <c r="AK184" s="10"/>
      <c r="AL184" s="23">
        <f t="shared" ref="AL184" si="175">+AP184-AP183</f>
        <v>33865</v>
      </c>
      <c r="AM184" s="24"/>
      <c r="AN184" s="24"/>
      <c r="AO184" s="24">
        <v>178263</v>
      </c>
      <c r="AP184" s="24">
        <v>3879960</v>
      </c>
      <c r="AQ184" s="24"/>
      <c r="AR184" s="504">
        <f t="shared" ref="AR184" si="176">+AL184/AP183</f>
        <v>8.8050347170311703E-3</v>
      </c>
      <c r="AS184" s="25"/>
      <c r="AT184" s="25"/>
      <c r="AU184" s="24"/>
      <c r="AV184" s="341">
        <f t="shared" ref="AV184" si="177">+AP184/H184</f>
        <v>0.58892896244370396</v>
      </c>
      <c r="AW184" s="341"/>
      <c r="AX184" s="24">
        <f t="shared" ref="AX184" si="178">+AP184/BW184</f>
        <v>22171.200000000001</v>
      </c>
      <c r="AY184" s="351"/>
      <c r="AZ184" s="10"/>
      <c r="BA184" s="66">
        <f t="shared" ref="BA184" si="179">+BC184-BC183</f>
        <v>701717</v>
      </c>
      <c r="BB184" s="67"/>
      <c r="BC184" s="67">
        <v>89984789</v>
      </c>
      <c r="BD184" s="67"/>
      <c r="BE184" s="67">
        <f t="shared" ref="BE184" si="180">+D184</f>
        <v>38811</v>
      </c>
      <c r="BF184" s="67"/>
      <c r="BG184" s="156">
        <f t="shared" ref="BG184" si="181">+BE184/BA184</f>
        <v>5.5308621566813973E-2</v>
      </c>
      <c r="BH184" s="67"/>
      <c r="BI184" s="183"/>
      <c r="BJ184" s="67"/>
      <c r="BK184" s="67">
        <f t="shared" ref="BK184" si="182">SUM(BA178:BA184)</f>
        <v>5103260</v>
      </c>
      <c r="BL184" s="67"/>
      <c r="BM184" s="156">
        <f t="shared" ref="BM184" si="183">+Q184/BK184</f>
        <v>4.9765052143139872E-2</v>
      </c>
      <c r="BN184" s="66">
        <f t="shared" ref="BN184" si="184">+BC184/BW184</f>
        <v>514198.79428571428</v>
      </c>
      <c r="BO184" s="67"/>
      <c r="BP184" s="67">
        <f t="shared" ref="BP184" si="185">+BP183+BE184</f>
        <v>6301641</v>
      </c>
      <c r="BQ184" s="67"/>
      <c r="BR184" s="478">
        <f t="shared" ref="BR184" si="186">+BP184/BC184</f>
        <v>7.0030069193138852E-2</v>
      </c>
      <c r="BS184" s="67"/>
      <c r="BT184" s="86"/>
      <c r="BU184" s="183"/>
      <c r="BV184" s="1"/>
      <c r="BW184" s="61">
        <f t="shared" si="53"/>
        <v>175</v>
      </c>
    </row>
    <row r="185" spans="2:85" x14ac:dyDescent="0.3">
      <c r="B185" s="171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ref="H185" si="187">+H184+D185</f>
        <v>6634763</v>
      </c>
      <c r="I185" s="16"/>
      <c r="J185" s="479">
        <f t="shared" ref="J185" si="188">+D185/H184</f>
        <v>7.0732919024620372E-3</v>
      </c>
      <c r="K185" s="16"/>
      <c r="L185" s="16"/>
      <c r="M185" s="16"/>
      <c r="N185" s="16">
        <f t="shared" ref="N185" si="189">SUM(D179:D185)</f>
        <v>247715</v>
      </c>
      <c r="O185" s="16">
        <f t="shared" ref="O185" si="190">+H185/BW185</f>
        <v>37697.517045454544</v>
      </c>
      <c r="P185" s="41"/>
      <c r="Q185" s="17">
        <f t="shared" ref="Q185" si="191">SUM(D179:D185)</f>
        <v>247715</v>
      </c>
      <c r="R185" s="16"/>
      <c r="S185" s="60">
        <f t="shared" ref="S185" si="192"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ref="AA185" si="193">+AA184+W185</f>
        <v>197421</v>
      </c>
      <c r="AB185" s="33"/>
      <c r="AC185" s="46">
        <f t="shared" ref="AC185" si="194">+AA185/H185</f>
        <v>2.9755546656301063E-2</v>
      </c>
      <c r="AD185" s="33"/>
      <c r="AE185" s="33">
        <f t="shared" ref="AE185" si="195">+AA185/BW185</f>
        <v>1121.7102272727273</v>
      </c>
      <c r="AF185" s="50"/>
      <c r="AG185" s="33">
        <f t="shared" ref="AG185" si="196">SUM(W179:W185)</f>
        <v>5310</v>
      </c>
      <c r="AH185" s="33">
        <f t="shared" ref="AH185" si="197">SUM(D156:D243)</f>
        <v>411422819.35152841</v>
      </c>
      <c r="AI185" s="231">
        <f t="shared" ref="AI185" si="198">+(AG185-AG178)/AG178</f>
        <v>-0.14849262347658757</v>
      </c>
      <c r="AJ185" s="50"/>
      <c r="AK185" s="10"/>
      <c r="AL185" s="23">
        <f t="shared" ref="AL185" si="199">+AP185-AP184</f>
        <v>38002</v>
      </c>
      <c r="AM185" s="24"/>
      <c r="AN185" s="24"/>
      <c r="AO185" s="24">
        <v>178263</v>
      </c>
      <c r="AP185" s="24">
        <v>3917962</v>
      </c>
      <c r="AQ185" s="24"/>
      <c r="AR185" s="504">
        <f t="shared" ref="AR185" si="200">+AL185/AP184</f>
        <v>9.7944308704213442E-3</v>
      </c>
      <c r="AS185" s="25"/>
      <c r="AT185" s="25"/>
      <c r="AU185" s="24"/>
      <c r="AV185" s="341">
        <f t="shared" ref="AV185" si="201">+AP185/H185</f>
        <v>0.59052026425058435</v>
      </c>
      <c r="AW185" s="341"/>
      <c r="AX185" s="24">
        <f t="shared" ref="AX185" si="202">+AP185/BW185</f>
        <v>22261.147727272728</v>
      </c>
      <c r="AY185" s="351"/>
      <c r="AZ185" s="10"/>
      <c r="BA185" s="66">
        <f t="shared" ref="BA185" si="203">+BC185-BC184</f>
        <v>860917</v>
      </c>
      <c r="BB185" s="67"/>
      <c r="BC185" s="67">
        <v>90845706</v>
      </c>
      <c r="BD185" s="67"/>
      <c r="BE185" s="67">
        <f t="shared" ref="BE185" si="204">+D185</f>
        <v>46600</v>
      </c>
      <c r="BF185" s="67"/>
      <c r="BG185" s="156">
        <f t="shared" ref="BG185" si="205">+BE185/BA185</f>
        <v>5.412833060562168E-2</v>
      </c>
      <c r="BH185" s="67"/>
      <c r="BI185" s="183"/>
      <c r="BJ185" s="67"/>
      <c r="BK185" s="67">
        <f t="shared" ref="BK185" si="206">SUM(BA179:BA185)</f>
        <v>4949989</v>
      </c>
      <c r="BL185" s="67"/>
      <c r="BM185" s="156">
        <f t="shared" ref="BM185" si="207">+Q185/BK185</f>
        <v>5.0043545551313344E-2</v>
      </c>
      <c r="BN185" s="66">
        <f t="shared" ref="BN185" si="208">+BC185/BW185</f>
        <v>516168.78409090912</v>
      </c>
      <c r="BO185" s="67"/>
      <c r="BP185" s="67">
        <f t="shared" ref="BP185" si="209">+BP184+BE185</f>
        <v>6348241</v>
      </c>
      <c r="BQ185" s="67"/>
      <c r="BR185" s="478">
        <f t="shared" ref="BR185" si="210">+BP185/BC185</f>
        <v>6.9879373274945977E-2</v>
      </c>
      <c r="BS185" s="67"/>
      <c r="BT185" s="86"/>
      <c r="BU185" s="183"/>
      <c r="BV185" s="1"/>
      <c r="BW185" s="61">
        <f t="shared" si="53"/>
        <v>176</v>
      </c>
    </row>
    <row r="186" spans="2:85" x14ac:dyDescent="0.3">
      <c r="B186" s="171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ref="H186" si="211">+H185+D186</f>
        <v>6674045</v>
      </c>
      <c r="I186" s="16"/>
      <c r="J186" s="479">
        <f t="shared" ref="J186" si="212">+D186/H185</f>
        <v>5.9206334875865196E-3</v>
      </c>
      <c r="K186" s="16"/>
      <c r="L186" s="16"/>
      <c r="M186" s="16"/>
      <c r="N186" s="16">
        <f t="shared" ref="N186" si="213">SUM(D180:D186)</f>
        <v>244905</v>
      </c>
      <c r="O186" s="16">
        <f t="shared" ref="O186" si="214">+H186/BW186</f>
        <v>37706.468926553673</v>
      </c>
      <c r="P186" s="41"/>
      <c r="Q186" s="17">
        <f t="shared" ref="Q186" si="215">SUM(D180:D186)</f>
        <v>244905</v>
      </c>
      <c r="R186" s="16"/>
      <c r="S186" s="60">
        <f t="shared" ref="S186" si="216"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ref="AA186" si="217">+AA185+W186</f>
        <v>198128</v>
      </c>
      <c r="AB186" s="33"/>
      <c r="AC186" s="46">
        <f t="shared" ref="AC186" si="218">+AA186/H186</f>
        <v>2.9686344638071814E-2</v>
      </c>
      <c r="AD186" s="33"/>
      <c r="AE186" s="33">
        <f t="shared" ref="AE186" si="219">+AA186/BW186</f>
        <v>1119.3672316384182</v>
      </c>
      <c r="AF186" s="50"/>
      <c r="AG186" s="33">
        <f t="shared" ref="AG186" si="220">SUM(W180:W186)</f>
        <v>5310</v>
      </c>
      <c r="AH186" s="33">
        <f t="shared" ref="AH186" si="221">SUM(D157:D244)</f>
        <v>411367455.35152841</v>
      </c>
      <c r="AI186" s="231">
        <f t="shared" ref="AI186" si="222">+(AG186-AG179)/AG179</f>
        <v>-0.11337451995324763</v>
      </c>
      <c r="AJ186" s="50"/>
      <c r="AK186" s="10"/>
      <c r="AL186" s="23">
        <f t="shared" ref="AL186" si="223">+AP186-AP185</f>
        <v>32392</v>
      </c>
      <c r="AM186" s="24"/>
      <c r="AN186" s="24"/>
      <c r="AO186" s="24">
        <v>178263</v>
      </c>
      <c r="AP186" s="24">
        <v>3950354</v>
      </c>
      <c r="AQ186" s="24"/>
      <c r="AR186" s="504">
        <f t="shared" ref="AR186" si="224">+AL186/AP185</f>
        <v>8.2675635955632033E-3</v>
      </c>
      <c r="AS186" s="25"/>
      <c r="AT186" s="25"/>
      <c r="AU186" s="24"/>
      <c r="AV186" s="341">
        <f t="shared" ref="AV186" si="225">+AP186/H186</f>
        <v>0.59189801686982935</v>
      </c>
      <c r="AW186" s="341"/>
      <c r="AX186" s="24">
        <f t="shared" ref="AX186" si="226">+AP186/BW186</f>
        <v>22318.384180790959</v>
      </c>
      <c r="AY186" s="351"/>
      <c r="AZ186" s="10"/>
      <c r="BA186" s="66">
        <f t="shared" ref="BA186" si="227">+BC186-BC185</f>
        <v>857797</v>
      </c>
      <c r="BB186" s="67"/>
      <c r="BC186" s="67">
        <v>91703503</v>
      </c>
      <c r="BD186" s="67"/>
      <c r="BE186" s="67">
        <f t="shared" ref="BE186" si="228">+D186</f>
        <v>39282</v>
      </c>
      <c r="BF186" s="67"/>
      <c r="BG186" s="156">
        <f t="shared" ref="BG186" si="229">+BE186/BA186</f>
        <v>4.5794051506358728E-2</v>
      </c>
      <c r="BH186" s="67"/>
      <c r="BI186" s="183"/>
      <c r="BJ186" s="67"/>
      <c r="BK186" s="67">
        <f t="shared" ref="BK186" si="230">SUM(BA180:BA186)</f>
        <v>4944301</v>
      </c>
      <c r="BL186" s="67"/>
      <c r="BM186" s="156">
        <f t="shared" ref="BM186" si="231">+Q186/BK186</f>
        <v>4.9532785321929229E-2</v>
      </c>
      <c r="BN186" s="66">
        <f t="shared" ref="BN186" si="232">+BC186/BW186</f>
        <v>518098.88700564974</v>
      </c>
      <c r="BO186" s="67"/>
      <c r="BP186" s="67">
        <f t="shared" ref="BP186" si="233">+BP185+BE186</f>
        <v>6387523</v>
      </c>
      <c r="BQ186" s="67"/>
      <c r="BR186" s="478">
        <f t="shared" ref="BR186" si="234">+BP186/BC186</f>
        <v>6.9654078536127456E-2</v>
      </c>
      <c r="BS186" s="67"/>
      <c r="BT186" s="86"/>
      <c r="BU186" s="183"/>
      <c r="BV186" s="1"/>
      <c r="BW186" s="61">
        <f t="shared" si="53"/>
        <v>177</v>
      </c>
    </row>
    <row r="187" spans="2:85" x14ac:dyDescent="0.3">
      <c r="B187" s="390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ref="H187" si="235">+H186+D187</f>
        <v>6705902</v>
      </c>
      <c r="I187" s="16"/>
      <c r="J187" s="479">
        <f t="shared" ref="J187" si="236">+D187/H186</f>
        <v>4.7732671865412957E-3</v>
      </c>
      <c r="K187" s="16"/>
      <c r="L187" s="16"/>
      <c r="M187" s="16"/>
      <c r="N187" s="16">
        <f t="shared" ref="N187" si="237">SUM(D181:D187)</f>
        <v>245652</v>
      </c>
      <c r="O187" s="16">
        <f t="shared" ref="O187" si="238">+H187/BW187</f>
        <v>37673.606741573036</v>
      </c>
      <c r="P187" s="41"/>
      <c r="Q187" s="453"/>
      <c r="R187" s="16"/>
      <c r="S187" s="60"/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ref="AA187" si="239">+AA186+W187</f>
        <v>198520</v>
      </c>
      <c r="AB187" s="33"/>
      <c r="AC187" s="46">
        <f t="shared" ref="AC187" si="240">+AA187/H187</f>
        <v>2.9603772915261811E-2</v>
      </c>
      <c r="AD187" s="33"/>
      <c r="AE187" s="33">
        <f t="shared" ref="AE187" si="241">+AA187/BW187</f>
        <v>1115.2808988764045</v>
      </c>
      <c r="AF187" s="50"/>
      <c r="AG187" s="33">
        <f t="shared" ref="AG187" si="242">SUM(W181:W187)</f>
        <v>5272</v>
      </c>
      <c r="AH187" s="33">
        <f t="shared" ref="AH187" si="243">SUM(D158:D245)</f>
        <v>411306855.35152841</v>
      </c>
      <c r="AI187" s="231">
        <f t="shared" ref="AI187" si="244">+(AG187-AG180)/AG180</f>
        <v>-0.12859504132231406</v>
      </c>
      <c r="AJ187" s="50"/>
      <c r="AK187" s="10"/>
      <c r="AL187" s="23">
        <f t="shared" ref="AL187" si="245">+AP187-AP186</f>
        <v>24595</v>
      </c>
      <c r="AM187" s="24"/>
      <c r="AN187" s="24"/>
      <c r="AO187" s="24">
        <v>178263</v>
      </c>
      <c r="AP187" s="24">
        <v>3974949</v>
      </c>
      <c r="AQ187" s="24"/>
      <c r="AR187" s="504">
        <f t="shared" ref="AR187" si="246">+AL187/AP186</f>
        <v>6.2260243006069839E-3</v>
      </c>
      <c r="AS187" s="25"/>
      <c r="AT187" s="25"/>
      <c r="AU187" s="24"/>
      <c r="AV187" s="341">
        <f t="shared" ref="AV187" si="247">+AP187/H187</f>
        <v>0.59275381596689003</v>
      </c>
      <c r="AW187" s="341"/>
      <c r="AX187" s="24">
        <f t="shared" ref="AX187" si="248">+AP187/BW187</f>
        <v>22331.174157303372</v>
      </c>
      <c r="AY187" s="351"/>
      <c r="AZ187" s="10"/>
      <c r="BA187" s="66">
        <f t="shared" ref="BA187" si="249">+BC187-BC186</f>
        <v>699997</v>
      </c>
      <c r="BB187" s="67"/>
      <c r="BC187" s="67">
        <v>92403500</v>
      </c>
      <c r="BD187" s="67"/>
      <c r="BE187" s="67">
        <f t="shared" ref="BE187" si="250">+D187</f>
        <v>31857</v>
      </c>
      <c r="BF187" s="67"/>
      <c r="BG187" s="156">
        <f t="shared" ref="BG187" si="251">+BE187/BA187</f>
        <v>4.5510195043693046E-2</v>
      </c>
      <c r="BH187" s="67"/>
      <c r="BI187" s="183"/>
      <c r="BJ187" s="67"/>
      <c r="BK187" s="67">
        <f t="shared" ref="BK187" si="252">SUM(BA181:BA187)</f>
        <v>4928581</v>
      </c>
      <c r="BL187" s="67"/>
      <c r="BM187" s="156">
        <f t="shared" ref="BM187" si="253">+Q187/BK187</f>
        <v>0</v>
      </c>
      <c r="BN187" s="66">
        <f t="shared" ref="BN187" si="254">+BC187/BW187</f>
        <v>519120.78651685396</v>
      </c>
      <c r="BO187" s="67"/>
      <c r="BP187" s="67">
        <f t="shared" ref="BP187" si="255">+BP186+BE187</f>
        <v>6419380</v>
      </c>
      <c r="BQ187" s="67"/>
      <c r="BR187" s="478">
        <f t="shared" ref="BR187" si="256">+BP187/BC187</f>
        <v>6.9471178039792872E-2</v>
      </c>
      <c r="BS187" s="67"/>
      <c r="BT187" s="86"/>
      <c r="BU187" s="183"/>
      <c r="BV187" s="1"/>
      <c r="BW187" s="61">
        <f t="shared" si="53"/>
        <v>178</v>
      </c>
    </row>
    <row r="188" spans="2:85" x14ac:dyDescent="0.3">
      <c r="B188" s="171">
        <f t="shared" si="52"/>
        <v>44088</v>
      </c>
      <c r="D188" s="18"/>
      <c r="E188" s="19"/>
      <c r="F188" s="19"/>
      <c r="G188" s="19"/>
      <c r="H188" s="19"/>
      <c r="I188" s="19"/>
      <c r="J188" s="39"/>
      <c r="K188" s="19"/>
      <c r="L188" s="19"/>
      <c r="M188" s="19"/>
      <c r="N188" s="19"/>
      <c r="O188" s="19"/>
      <c r="P188" s="43"/>
      <c r="Q188" s="18"/>
      <c r="R188" s="19"/>
      <c r="S188" s="19"/>
      <c r="T188" s="19"/>
      <c r="U188" s="43"/>
      <c r="V188" s="1"/>
      <c r="W188" s="35"/>
      <c r="X188" s="36"/>
      <c r="Y188" s="36"/>
      <c r="Z188" s="36"/>
      <c r="AA188" s="36"/>
      <c r="AB188" s="36"/>
      <c r="AC188" s="47"/>
      <c r="AD188" s="36"/>
      <c r="AE188" s="36"/>
      <c r="AF188" s="51"/>
      <c r="AG188" s="36"/>
      <c r="AH188" s="36"/>
      <c r="AI188" s="36"/>
      <c r="AJ188" s="51"/>
      <c r="AK188" s="1"/>
      <c r="AL188" s="26"/>
      <c r="AM188" s="27"/>
      <c r="AN188" s="27"/>
      <c r="AO188" s="27"/>
      <c r="AP188" s="27"/>
      <c r="AQ188" s="27"/>
      <c r="AR188" s="27"/>
      <c r="AS188" s="27"/>
      <c r="AT188" s="27"/>
      <c r="AU188" s="27"/>
      <c r="AV188" s="343"/>
      <c r="AW188" s="343"/>
      <c r="AX188" s="27"/>
      <c r="AY188" s="350"/>
      <c r="AZ188" s="1"/>
      <c r="BA188" s="68"/>
      <c r="BB188" s="69"/>
      <c r="BC188" s="69"/>
      <c r="BD188" s="69"/>
      <c r="BE188" s="69"/>
      <c r="BF188" s="69"/>
      <c r="BG188" s="69"/>
      <c r="BH188" s="69"/>
      <c r="BI188" s="184"/>
      <c r="BJ188" s="69"/>
      <c r="BK188" s="69"/>
      <c r="BL188" s="69"/>
      <c r="BM188" s="69"/>
      <c r="BN188" s="68"/>
      <c r="BO188" s="69"/>
      <c r="BP188" s="69"/>
      <c r="BQ188" s="69"/>
      <c r="BR188" s="71"/>
      <c r="BS188" s="69"/>
      <c r="BT188" s="69"/>
      <c r="BU188" s="184"/>
      <c r="BV188" s="1"/>
      <c r="BW188" s="61">
        <f t="shared" si="53"/>
        <v>179</v>
      </c>
    </row>
    <row r="189" spans="2:85" x14ac:dyDescent="0.3">
      <c r="B189" s="56"/>
      <c r="D189" s="1"/>
      <c r="E189" s="1"/>
      <c r="F189" s="1"/>
      <c r="G189" s="1"/>
      <c r="H189" s="59"/>
      <c r="I189" s="1"/>
      <c r="J189" s="59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59"/>
      <c r="X189" s="1"/>
      <c r="Y189" s="1"/>
      <c r="Z189" s="1"/>
      <c r="AA189" s="1"/>
      <c r="AB189" s="1"/>
      <c r="AC189" s="59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59"/>
      <c r="BD189" s="1"/>
      <c r="BE189" s="59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</row>
    <row r="190" spans="2:85" x14ac:dyDescent="0.3">
      <c r="B190" s="179" t="s">
        <v>82</v>
      </c>
      <c r="D190" s="56">
        <f>+D187</f>
        <v>31857</v>
      </c>
      <c r="E190" s="56">
        <f>+E137</f>
        <v>0</v>
      </c>
      <c r="F190" s="56">
        <f>+F137</f>
        <v>0</v>
      </c>
      <c r="G190" s="56">
        <f>+G137</f>
        <v>0</v>
      </c>
      <c r="H190" s="56">
        <f t="shared" ref="H190:BR190" si="257">+H187</f>
        <v>6705902</v>
      </c>
      <c r="I190" s="56">
        <f t="shared" si="257"/>
        <v>0</v>
      </c>
      <c r="J190" s="56">
        <f t="shared" si="257"/>
        <v>4.7732671865412957E-3</v>
      </c>
      <c r="K190" s="56">
        <f t="shared" si="257"/>
        <v>0</v>
      </c>
      <c r="L190" s="56">
        <f t="shared" si="257"/>
        <v>0</v>
      </c>
      <c r="M190" s="56">
        <f t="shared" si="257"/>
        <v>0</v>
      </c>
      <c r="N190" s="56">
        <f t="shared" si="257"/>
        <v>245652</v>
      </c>
      <c r="O190" s="56">
        <f t="shared" si="257"/>
        <v>37673.606741573036</v>
      </c>
      <c r="P190" s="56">
        <f t="shared" si="257"/>
        <v>0</v>
      </c>
      <c r="Q190" s="56">
        <f t="shared" si="257"/>
        <v>0</v>
      </c>
      <c r="R190" s="56">
        <f t="shared" si="257"/>
        <v>0</v>
      </c>
      <c r="S190" s="56">
        <f t="shared" si="257"/>
        <v>0</v>
      </c>
      <c r="T190" s="56">
        <f t="shared" si="257"/>
        <v>0</v>
      </c>
      <c r="U190" s="56">
        <f t="shared" si="257"/>
        <v>0</v>
      </c>
      <c r="V190" s="56">
        <f t="shared" si="257"/>
        <v>79</v>
      </c>
      <c r="W190" s="56">
        <f t="shared" si="257"/>
        <v>392</v>
      </c>
      <c r="X190" s="56">
        <f t="shared" si="257"/>
        <v>0</v>
      </c>
      <c r="Y190" s="56">
        <f t="shared" si="257"/>
        <v>0</v>
      </c>
      <c r="Z190" s="56">
        <f t="shared" si="257"/>
        <v>0</v>
      </c>
      <c r="AA190" s="56">
        <f t="shared" si="257"/>
        <v>198520</v>
      </c>
      <c r="AB190" s="56">
        <f t="shared" si="257"/>
        <v>0</v>
      </c>
      <c r="AC190" s="56">
        <f t="shared" si="257"/>
        <v>2.9603772915261811E-2</v>
      </c>
      <c r="AD190" s="56">
        <f t="shared" si="257"/>
        <v>0</v>
      </c>
      <c r="AE190" s="56">
        <f t="shared" si="257"/>
        <v>1115.2808988764045</v>
      </c>
      <c r="AF190" s="56">
        <f t="shared" si="257"/>
        <v>0</v>
      </c>
      <c r="AG190" s="56">
        <f t="shared" si="257"/>
        <v>5272</v>
      </c>
      <c r="AH190" s="56">
        <f t="shared" si="257"/>
        <v>411306855.35152841</v>
      </c>
      <c r="AI190" s="56">
        <f t="shared" si="257"/>
        <v>-0.12859504132231406</v>
      </c>
      <c r="AJ190" s="56">
        <f t="shared" si="257"/>
        <v>0</v>
      </c>
      <c r="AK190" s="56">
        <f t="shared" si="257"/>
        <v>0</v>
      </c>
      <c r="AL190" s="56">
        <f t="shared" si="257"/>
        <v>24595</v>
      </c>
      <c r="AM190" s="56">
        <f t="shared" si="257"/>
        <v>0</v>
      </c>
      <c r="AN190" s="56">
        <f t="shared" si="257"/>
        <v>0</v>
      </c>
      <c r="AO190" s="56">
        <f t="shared" si="257"/>
        <v>178263</v>
      </c>
      <c r="AP190" s="56">
        <f t="shared" si="257"/>
        <v>3974949</v>
      </c>
      <c r="AQ190" s="56">
        <f t="shared" si="257"/>
        <v>0</v>
      </c>
      <c r="AR190" s="56">
        <f t="shared" si="257"/>
        <v>6.2260243006069839E-3</v>
      </c>
      <c r="AS190" s="56">
        <f t="shared" si="257"/>
        <v>0</v>
      </c>
      <c r="AT190" s="56">
        <f t="shared" si="257"/>
        <v>0</v>
      </c>
      <c r="AU190" s="56">
        <f t="shared" si="257"/>
        <v>0</v>
      </c>
      <c r="AV190" s="56">
        <f t="shared" si="257"/>
        <v>0.59275381596689003</v>
      </c>
      <c r="AW190" s="56">
        <f t="shared" si="257"/>
        <v>0</v>
      </c>
      <c r="AX190" s="56">
        <f t="shared" si="257"/>
        <v>22331.174157303372</v>
      </c>
      <c r="AY190" s="56">
        <f t="shared" si="257"/>
        <v>0</v>
      </c>
      <c r="AZ190" s="56">
        <f t="shared" si="257"/>
        <v>0</v>
      </c>
      <c r="BA190" s="56">
        <f t="shared" si="257"/>
        <v>699997</v>
      </c>
      <c r="BB190" s="56">
        <f t="shared" si="257"/>
        <v>0</v>
      </c>
      <c r="BC190" s="56">
        <f t="shared" si="257"/>
        <v>92403500</v>
      </c>
      <c r="BD190" s="56">
        <f t="shared" si="257"/>
        <v>0</v>
      </c>
      <c r="BE190" s="56">
        <f t="shared" si="257"/>
        <v>31857</v>
      </c>
      <c r="BF190" s="56">
        <f t="shared" si="257"/>
        <v>0</v>
      </c>
      <c r="BG190" s="56">
        <f t="shared" si="257"/>
        <v>4.5510195043693046E-2</v>
      </c>
      <c r="BH190" s="56">
        <f t="shared" si="257"/>
        <v>0</v>
      </c>
      <c r="BI190" s="56">
        <f t="shared" si="257"/>
        <v>0</v>
      </c>
      <c r="BJ190" s="56">
        <f t="shared" si="257"/>
        <v>0</v>
      </c>
      <c r="BK190" s="56">
        <f t="shared" si="257"/>
        <v>4928581</v>
      </c>
      <c r="BL190" s="56">
        <f t="shared" si="257"/>
        <v>0</v>
      </c>
      <c r="BM190" s="56">
        <f t="shared" si="257"/>
        <v>0</v>
      </c>
      <c r="BN190" s="56">
        <f t="shared" si="257"/>
        <v>519120.78651685396</v>
      </c>
      <c r="BO190" s="56">
        <f t="shared" si="257"/>
        <v>0</v>
      </c>
      <c r="BP190" s="56">
        <f t="shared" si="257"/>
        <v>6419380</v>
      </c>
      <c r="BQ190" s="56">
        <f t="shared" si="257"/>
        <v>0</v>
      </c>
      <c r="BR190" s="56">
        <f t="shared" si="257"/>
        <v>6.9471178039792872E-2</v>
      </c>
      <c r="BS190" s="56">
        <f t="shared" ref="H190:BS190" si="258">+BS182</f>
        <v>0</v>
      </c>
      <c r="BT190" s="10"/>
      <c r="BU190" s="10"/>
      <c r="BV190" s="10"/>
      <c r="BW190" s="160"/>
      <c r="BX190" s="10"/>
      <c r="BY190" s="62"/>
      <c r="BZ190" s="10"/>
      <c r="CA190" s="160"/>
      <c r="CB190" s="61"/>
      <c r="CC190" s="61"/>
      <c r="CD190" s="61"/>
      <c r="CE190" s="61"/>
      <c r="CF190" s="61"/>
      <c r="CG190" s="157"/>
    </row>
    <row r="191" spans="2:85" x14ac:dyDescent="0.3">
      <c r="B191" t="s">
        <v>118</v>
      </c>
      <c r="D191" s="56">
        <f>+D186-D190</f>
        <v>7425</v>
      </c>
      <c r="E191" s="56">
        <f>+E137-E190</f>
        <v>0</v>
      </c>
      <c r="F191" s="56">
        <f>+F137-F190</f>
        <v>0</v>
      </c>
      <c r="G191" s="56">
        <f>+G137-G190</f>
        <v>0</v>
      </c>
      <c r="H191" s="56">
        <f t="shared" ref="H191:BR191" si="259">+H186-H190</f>
        <v>-31857</v>
      </c>
      <c r="I191" s="56">
        <f t="shared" si="259"/>
        <v>0</v>
      </c>
      <c r="J191" s="56">
        <f t="shared" si="259"/>
        <v>1.1473663010452238E-3</v>
      </c>
      <c r="K191" s="56">
        <f t="shared" si="259"/>
        <v>0</v>
      </c>
      <c r="L191" s="56">
        <f t="shared" si="259"/>
        <v>0</v>
      </c>
      <c r="M191" s="56">
        <f t="shared" si="259"/>
        <v>0</v>
      </c>
      <c r="N191" s="56">
        <f t="shared" si="259"/>
        <v>-747</v>
      </c>
      <c r="O191" s="56">
        <f t="shared" si="259"/>
        <v>32.862184980636812</v>
      </c>
      <c r="P191" s="56">
        <f t="shared" si="259"/>
        <v>0</v>
      </c>
      <c r="Q191" s="56">
        <f t="shared" si="259"/>
        <v>244905</v>
      </c>
      <c r="R191" s="56">
        <f t="shared" si="259"/>
        <v>0</v>
      </c>
      <c r="S191" s="56">
        <f t="shared" si="259"/>
        <v>-0.17299821703541615</v>
      </c>
      <c r="T191" s="56">
        <f t="shared" si="259"/>
        <v>0</v>
      </c>
      <c r="U191" s="56">
        <f t="shared" si="259"/>
        <v>0</v>
      </c>
      <c r="V191" s="56">
        <f t="shared" si="259"/>
        <v>-1</v>
      </c>
      <c r="W191" s="56">
        <f t="shared" si="259"/>
        <v>315</v>
      </c>
      <c r="X191" s="56">
        <f t="shared" si="259"/>
        <v>0</v>
      </c>
      <c r="Y191" s="56">
        <f t="shared" si="259"/>
        <v>0</v>
      </c>
      <c r="Z191" s="56">
        <f t="shared" si="259"/>
        <v>0</v>
      </c>
      <c r="AA191" s="56">
        <f t="shared" si="259"/>
        <v>-392</v>
      </c>
      <c r="AB191" s="56">
        <f t="shared" si="259"/>
        <v>0</v>
      </c>
      <c r="AC191" s="56">
        <f t="shared" si="259"/>
        <v>8.2571722810002857E-5</v>
      </c>
      <c r="AD191" s="56">
        <f t="shared" si="259"/>
        <v>0</v>
      </c>
      <c r="AE191" s="56">
        <f t="shared" si="259"/>
        <v>4.0863327620136261</v>
      </c>
      <c r="AF191" s="56">
        <f t="shared" si="259"/>
        <v>0</v>
      </c>
      <c r="AG191" s="56">
        <f t="shared" si="259"/>
        <v>38</v>
      </c>
      <c r="AH191" s="56">
        <f t="shared" si="259"/>
        <v>60600</v>
      </c>
      <c r="AI191" s="56">
        <f t="shared" si="259"/>
        <v>1.5220521369066431E-2</v>
      </c>
      <c r="AJ191" s="56">
        <f t="shared" si="259"/>
        <v>0</v>
      </c>
      <c r="AK191" s="56">
        <f t="shared" si="259"/>
        <v>0</v>
      </c>
      <c r="AL191" s="56">
        <f t="shared" si="259"/>
        <v>7797</v>
      </c>
      <c r="AM191" s="56">
        <f t="shared" si="259"/>
        <v>0</v>
      </c>
      <c r="AN191" s="56">
        <f t="shared" si="259"/>
        <v>0</v>
      </c>
      <c r="AO191" s="56">
        <f t="shared" si="259"/>
        <v>0</v>
      </c>
      <c r="AP191" s="56">
        <f t="shared" si="259"/>
        <v>-24595</v>
      </c>
      <c r="AQ191" s="56">
        <f t="shared" si="259"/>
        <v>0</v>
      </c>
      <c r="AR191" s="56">
        <f t="shared" si="259"/>
        <v>2.0415392949562194E-3</v>
      </c>
      <c r="AS191" s="56">
        <f t="shared" si="259"/>
        <v>0</v>
      </c>
      <c r="AT191" s="56">
        <f t="shared" si="259"/>
        <v>0</v>
      </c>
      <c r="AU191" s="56">
        <f t="shared" si="259"/>
        <v>0</v>
      </c>
      <c r="AV191" s="56">
        <f t="shared" si="259"/>
        <v>-8.5579909706068324E-4</v>
      </c>
      <c r="AW191" s="56">
        <f t="shared" si="259"/>
        <v>0</v>
      </c>
      <c r="AX191" s="56">
        <f t="shared" si="259"/>
        <v>-12.789976512412977</v>
      </c>
      <c r="AY191" s="56">
        <f t="shared" si="259"/>
        <v>0</v>
      </c>
      <c r="AZ191" s="56">
        <f t="shared" si="259"/>
        <v>0</v>
      </c>
      <c r="BA191" s="56">
        <f t="shared" si="259"/>
        <v>157800</v>
      </c>
      <c r="BB191" s="56">
        <f t="shared" si="259"/>
        <v>0</v>
      </c>
      <c r="BC191" s="56">
        <f t="shared" si="259"/>
        <v>-699997</v>
      </c>
      <c r="BD191" s="56">
        <f t="shared" si="259"/>
        <v>0</v>
      </c>
      <c r="BE191" s="56">
        <f t="shared" si="259"/>
        <v>7425</v>
      </c>
      <c r="BF191" s="56">
        <f t="shared" si="259"/>
        <v>0</v>
      </c>
      <c r="BG191" s="56">
        <f t="shared" si="259"/>
        <v>2.8385646266568254E-4</v>
      </c>
      <c r="BH191" s="56">
        <f t="shared" si="259"/>
        <v>0</v>
      </c>
      <c r="BI191" s="56">
        <f t="shared" si="259"/>
        <v>0</v>
      </c>
      <c r="BJ191" s="56">
        <f t="shared" si="259"/>
        <v>0</v>
      </c>
      <c r="BK191" s="56">
        <f t="shared" si="259"/>
        <v>15720</v>
      </c>
      <c r="BL191" s="56">
        <f t="shared" si="259"/>
        <v>0</v>
      </c>
      <c r="BM191" s="56">
        <f t="shared" si="259"/>
        <v>4.9532785321929229E-2</v>
      </c>
      <c r="BN191" s="56">
        <f t="shared" si="259"/>
        <v>-1021.8995112042176</v>
      </c>
      <c r="BO191" s="56">
        <f t="shared" si="259"/>
        <v>0</v>
      </c>
      <c r="BP191" s="56">
        <f t="shared" si="259"/>
        <v>-31857</v>
      </c>
      <c r="BQ191" s="56">
        <f t="shared" si="259"/>
        <v>0</v>
      </c>
      <c r="BR191" s="56">
        <f t="shared" si="259"/>
        <v>1.8290049633458427E-4</v>
      </c>
      <c r="BS191" s="56">
        <f t="shared" ref="H191:BS191" si="260">+BS181-BS190</f>
        <v>0</v>
      </c>
      <c r="BT191" s="10"/>
      <c r="BU191" s="10"/>
      <c r="BV191" s="10"/>
      <c r="BW191" s="62"/>
      <c r="BX191" s="10"/>
      <c r="BY191" s="10"/>
      <c r="BZ191" s="10"/>
      <c r="CA191" s="62"/>
      <c r="CB191" s="61"/>
      <c r="CC191" s="61"/>
      <c r="CD191" s="61"/>
      <c r="CE191" s="61"/>
      <c r="CF191" s="61"/>
      <c r="CG191" s="117"/>
    </row>
    <row r="192" spans="2:85" x14ac:dyDescent="0.3">
      <c r="B192" s="56"/>
      <c r="D192" s="56"/>
      <c r="H192" s="56"/>
      <c r="O192" s="59"/>
      <c r="AA192" s="56"/>
      <c r="AC192" s="59"/>
      <c r="AE192" s="273"/>
      <c r="BA192" s="59"/>
      <c r="BG192" s="59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61"/>
      <c r="CC192" s="117"/>
      <c r="CD192" s="117"/>
      <c r="CE192" s="117"/>
      <c r="CF192" s="117"/>
    </row>
    <row r="193" spans="2:72" x14ac:dyDescent="0.3">
      <c r="B193" s="56"/>
      <c r="D193" s="56"/>
      <c r="H193" s="1"/>
      <c r="J193" t="s">
        <v>157</v>
      </c>
      <c r="O193" s="59"/>
      <c r="W193" s="56"/>
      <c r="AA193" s="55"/>
      <c r="BA193" s="59"/>
      <c r="BC193" s="56"/>
      <c r="BE193" s="59"/>
      <c r="BJ193" s="61"/>
      <c r="BK193" s="62">
        <f>+BK191/BK82</f>
        <v>5.3783840282522546E-3</v>
      </c>
      <c r="BL193" s="61"/>
      <c r="BM193" s="61"/>
      <c r="BN193" s="61"/>
      <c r="BO193" s="61"/>
      <c r="BP193" s="61"/>
      <c r="BQ193" s="61"/>
      <c r="BR193" s="61"/>
      <c r="BS193" s="10"/>
      <c r="BT193" s="10"/>
    </row>
    <row r="194" spans="2:72" x14ac:dyDescent="0.3">
      <c r="B194" s="56"/>
      <c r="D194" s="56"/>
      <c r="H194" s="56"/>
      <c r="W194" s="56"/>
      <c r="AA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BH194" s="108"/>
      <c r="BI194" s="108"/>
      <c r="BJ194" s="108"/>
      <c r="BK194" s="537">
        <f>+BK54</f>
        <v>1726276</v>
      </c>
      <c r="BL194" s="108"/>
      <c r="BM194" s="108"/>
      <c r="BN194" s="108"/>
      <c r="BO194" s="108"/>
      <c r="BP194" s="108"/>
      <c r="BQ194" s="108"/>
      <c r="BR194" s="90"/>
      <c r="BS194" s="1"/>
      <c r="BT194" s="1"/>
    </row>
    <row r="195" spans="2:72" x14ac:dyDescent="0.3">
      <c r="D195" s="1"/>
      <c r="E195" s="123" t="s">
        <v>28</v>
      </c>
      <c r="F195" s="124"/>
      <c r="H195" s="124" t="s">
        <v>67</v>
      </c>
      <c r="I195" s="116"/>
      <c r="J195" s="116"/>
      <c r="K195" s="61"/>
      <c r="L195" s="10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BH195" s="108"/>
      <c r="BI195" s="108"/>
      <c r="BJ195" s="108"/>
      <c r="BK195" s="538"/>
      <c r="BL195" s="108"/>
      <c r="BM195" s="108"/>
      <c r="BN195" s="108"/>
      <c r="BO195" s="108"/>
      <c r="BP195" s="108"/>
      <c r="BQ195" s="108"/>
      <c r="BR195" s="90"/>
      <c r="BS195" s="1"/>
      <c r="BT195" s="1"/>
    </row>
    <row r="196" spans="2:72" x14ac:dyDescent="0.3">
      <c r="B196" s="56"/>
      <c r="D196" s="1"/>
      <c r="E196" s="123" t="s">
        <v>40</v>
      </c>
      <c r="F196" s="124"/>
      <c r="H196" s="124" t="s">
        <v>42</v>
      </c>
      <c r="I196" s="10"/>
      <c r="J196" s="10"/>
      <c r="K196" s="61"/>
      <c r="L196" s="10"/>
      <c r="AD196" s="1"/>
      <c r="AE196" s="1"/>
      <c r="AF196" s="1"/>
      <c r="AG196" s="1"/>
      <c r="AH196" s="1"/>
      <c r="AI196" s="1"/>
      <c r="AJ196" s="1"/>
      <c r="AK196" s="1"/>
      <c r="AL196" s="1" t="s">
        <v>17</v>
      </c>
      <c r="AM196" s="1"/>
      <c r="AN196" s="1"/>
      <c r="AO196" s="1"/>
      <c r="BH196" s="109"/>
      <c r="BI196" s="109"/>
      <c r="BJ196" s="109"/>
      <c r="BK196" s="537">
        <f>+BK190-BK194</f>
        <v>3202305</v>
      </c>
      <c r="BL196" s="109"/>
      <c r="BM196" s="109"/>
      <c r="BN196" s="109"/>
      <c r="BO196" s="109"/>
      <c r="BP196" s="109"/>
      <c r="BQ196" s="109"/>
      <c r="BR196" s="90"/>
      <c r="BS196" s="1"/>
      <c r="BT196" s="1"/>
    </row>
    <row r="197" spans="2:72" x14ac:dyDescent="0.3">
      <c r="B197" s="273"/>
      <c r="D197" s="1"/>
      <c r="E197" s="123" t="s">
        <v>47</v>
      </c>
      <c r="F197" s="124"/>
      <c r="H197" s="124" t="s">
        <v>57</v>
      </c>
      <c r="I197" s="10"/>
      <c r="J197" s="10"/>
      <c r="K197" s="61"/>
      <c r="L197" s="10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BH197" s="109"/>
      <c r="BI197" s="109"/>
      <c r="BJ197" s="109"/>
      <c r="BK197" s="537"/>
      <c r="BL197" s="109"/>
      <c r="BM197" s="109"/>
      <c r="BN197" s="109"/>
      <c r="BO197" s="109"/>
      <c r="BP197" s="109"/>
      <c r="BQ197" s="109"/>
      <c r="BR197" s="90"/>
      <c r="BS197" s="1"/>
      <c r="BT197" s="1"/>
    </row>
    <row r="198" spans="2:72" x14ac:dyDescent="0.3">
      <c r="D198" s="1"/>
      <c r="E198" s="123" t="s">
        <v>68</v>
      </c>
      <c r="F198" s="61"/>
      <c r="H198" s="93" t="s">
        <v>149</v>
      </c>
      <c r="I198" s="61"/>
      <c r="J198" s="61"/>
      <c r="K198" s="61"/>
      <c r="L198" s="6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BA198">
        <v>400000</v>
      </c>
      <c r="BH198" s="109"/>
      <c r="BI198" s="109"/>
      <c r="BJ198" s="109"/>
      <c r="BK198" s="540">
        <f>+BK196/BK194</f>
        <v>1.8550365063292313</v>
      </c>
      <c r="BL198" s="109"/>
      <c r="BM198" s="109"/>
      <c r="BN198" s="109"/>
      <c r="BO198" s="109"/>
      <c r="BP198" s="109"/>
      <c r="BQ198" s="109"/>
      <c r="BR198" s="90"/>
      <c r="BS198" s="1"/>
      <c r="BT198" s="1"/>
    </row>
    <row r="199" spans="2:72" x14ac:dyDescent="0.3">
      <c r="E199" s="123" t="s">
        <v>150</v>
      </c>
      <c r="H199" s="93" t="s">
        <v>151</v>
      </c>
      <c r="AD199" s="1"/>
      <c r="AE199" s="1"/>
      <c r="AF199" s="1"/>
      <c r="AG199" s="1"/>
      <c r="AH199" s="1"/>
      <c r="AI199" s="1"/>
      <c r="BA199">
        <v>0.05</v>
      </c>
      <c r="BD199" s="90"/>
      <c r="BE199" s="90"/>
      <c r="BF199" s="90"/>
      <c r="BG199" s="90"/>
      <c r="BH199" s="90"/>
      <c r="BI199" s="90"/>
      <c r="BJ199" s="90"/>
      <c r="BK199" s="538">
        <f>+BM54</f>
        <v>0.11641359782560842</v>
      </c>
      <c r="BL199" s="90"/>
      <c r="BM199" s="90"/>
      <c r="BN199" s="90"/>
      <c r="BO199" s="90"/>
      <c r="BP199" s="90"/>
      <c r="BQ199" s="90"/>
      <c r="BR199" s="90"/>
      <c r="BS199" s="1"/>
      <c r="BT199" s="1"/>
    </row>
    <row r="200" spans="2:72" x14ac:dyDescent="0.3">
      <c r="AD200" s="1"/>
      <c r="AE200" s="1"/>
      <c r="AF200" s="1"/>
      <c r="AG200" s="1"/>
      <c r="AH200" s="1"/>
      <c r="AI200" s="1"/>
      <c r="BA200">
        <f>+BA198*BA199</f>
        <v>20000</v>
      </c>
      <c r="BK200" s="539"/>
    </row>
    <row r="201" spans="2:72" ht="15" thickBot="1" x14ac:dyDescent="0.35">
      <c r="D201" s="56"/>
      <c r="AD201" s="1"/>
      <c r="AE201" s="1"/>
      <c r="AF201" s="1"/>
      <c r="AG201" s="1"/>
      <c r="AH201" s="1"/>
      <c r="AI201" s="528"/>
      <c r="AJ201" s="529"/>
      <c r="AK201" s="529"/>
      <c r="AL201" s="529"/>
      <c r="AM201" s="529"/>
      <c r="AN201" s="529"/>
      <c r="AO201" s="529"/>
      <c r="AP201" s="529"/>
      <c r="AQ201" s="529"/>
      <c r="AR201" s="529"/>
      <c r="AS201" s="529"/>
      <c r="AT201" s="529"/>
      <c r="AU201" s="529"/>
      <c r="AV201" s="529"/>
      <c r="AW201" s="529"/>
      <c r="AX201" s="529"/>
      <c r="AZ201" s="118"/>
      <c r="BA201" s="118"/>
      <c r="BB201" s="118"/>
      <c r="BC201" s="118"/>
      <c r="BK201" s="1">
        <f>+BK196*BK199</f>
        <v>372791.84638493496</v>
      </c>
    </row>
    <row r="202" spans="2:72" x14ac:dyDescent="0.3">
      <c r="D202" s="1">
        <v>4900</v>
      </c>
      <c r="J202" s="530">
        <f>+BR125</f>
        <v>7.4075240343216359E-2</v>
      </c>
      <c r="V202" s="118"/>
      <c r="AA202" s="56"/>
      <c r="AD202" s="1"/>
      <c r="AE202" s="1"/>
      <c r="AF202" s="1"/>
      <c r="AG202" s="1"/>
      <c r="AH202" s="1"/>
      <c r="AI202" s="528"/>
      <c r="AJ202" s="507"/>
      <c r="AK202" s="508"/>
      <c r="AL202" s="508"/>
      <c r="AM202" s="508"/>
      <c r="AN202" s="508"/>
      <c r="AO202" s="508"/>
      <c r="AP202" s="508"/>
      <c r="AQ202" s="508"/>
      <c r="AR202" s="508"/>
      <c r="AS202" s="508"/>
      <c r="AT202" s="508"/>
      <c r="AU202" s="508"/>
      <c r="AV202" s="508"/>
      <c r="AW202" s="509"/>
      <c r="AX202" s="529"/>
      <c r="AZ202" s="118"/>
      <c r="BA202" s="118"/>
      <c r="BB202" s="118"/>
      <c r="BC202" s="118"/>
      <c r="BK202" s="56">
        <f>+BK173-BK166</f>
        <v>471953</v>
      </c>
    </row>
    <row r="203" spans="2:72" x14ac:dyDescent="0.3">
      <c r="D203" s="1">
        <v>1000000</v>
      </c>
      <c r="J203" s="232">
        <f>+AC125</f>
        <v>3.9951743109698762E-2</v>
      </c>
      <c r="AD203" s="1"/>
      <c r="AE203" s="1"/>
      <c r="AF203" s="1"/>
      <c r="AG203" s="1"/>
      <c r="AH203" s="1"/>
      <c r="AI203" s="528"/>
      <c r="AJ203" s="510"/>
      <c r="AK203" s="597" t="s">
        <v>156</v>
      </c>
      <c r="AL203" s="597"/>
      <c r="AM203" s="597"/>
      <c r="AN203" s="597"/>
      <c r="AO203" s="597"/>
      <c r="AP203" s="597"/>
      <c r="AQ203" s="597"/>
      <c r="AR203" s="597"/>
      <c r="AS203" s="597"/>
      <c r="AT203" s="597"/>
      <c r="AU203" s="597"/>
      <c r="AV203" s="597"/>
      <c r="AW203" s="511"/>
      <c r="AX203" s="529"/>
      <c r="AZ203" s="118"/>
      <c r="BA203" s="118"/>
      <c r="BB203" s="118"/>
      <c r="BC203" s="118"/>
    </row>
    <row r="204" spans="2:72" ht="15.6" x14ac:dyDescent="0.3">
      <c r="J204" s="57">
        <f>+J202*J203</f>
        <v>2.9594349729813738E-3</v>
      </c>
      <c r="AD204" s="1"/>
      <c r="AE204" s="1"/>
      <c r="AF204" s="1"/>
      <c r="AG204" s="1"/>
      <c r="AH204" s="1"/>
      <c r="AI204" s="528"/>
      <c r="AJ204" s="510"/>
      <c r="AK204" s="597" t="s">
        <v>155</v>
      </c>
      <c r="AL204" s="597"/>
      <c r="AM204" s="597"/>
      <c r="AN204" s="597"/>
      <c r="AO204" s="516"/>
      <c r="AP204" s="517" t="s">
        <v>20</v>
      </c>
      <c r="AQ204" s="516"/>
      <c r="AR204" s="517" t="s">
        <v>4</v>
      </c>
      <c r="AS204" s="518"/>
      <c r="AT204" s="518"/>
      <c r="AU204" s="518"/>
      <c r="AV204" s="522" t="s">
        <v>10</v>
      </c>
      <c r="AW204" s="511"/>
      <c r="AX204" s="529"/>
      <c r="AZ204" s="118"/>
      <c r="BA204" s="118"/>
      <c r="BB204" s="118"/>
      <c r="BC204" s="118"/>
    </row>
    <row r="205" spans="2:72" ht="15.6" x14ac:dyDescent="0.3">
      <c r="AD205" s="1"/>
      <c r="AE205" s="1"/>
      <c r="AF205" s="1"/>
      <c r="AG205" s="1"/>
      <c r="AH205" s="1"/>
      <c r="AI205" s="528"/>
      <c r="AJ205" s="510"/>
      <c r="AK205" s="595" t="s">
        <v>152</v>
      </c>
      <c r="AL205" s="595"/>
      <c r="AM205" s="595"/>
      <c r="AN205" s="595"/>
      <c r="AO205" s="516"/>
      <c r="AP205" s="519">
        <f>+AH50</f>
        <v>898992</v>
      </c>
      <c r="AQ205" s="520"/>
      <c r="AR205" s="519">
        <f>+AH51</f>
        <v>55687</v>
      </c>
      <c r="AS205" s="521"/>
      <c r="AT205" s="521"/>
      <c r="AU205" s="521"/>
      <c r="AV205" s="535">
        <f>+AR205/AP205</f>
        <v>6.194382152455194E-2</v>
      </c>
      <c r="AW205" s="511"/>
      <c r="AX205" s="529"/>
      <c r="AZ205" s="118"/>
      <c r="BA205" s="118"/>
      <c r="BB205" s="118"/>
      <c r="BC205" s="118"/>
    </row>
    <row r="206" spans="2:72" ht="15.6" x14ac:dyDescent="0.3">
      <c r="D206" s="277">
        <f>+D202/D203</f>
        <v>4.8999999999999998E-3</v>
      </c>
      <c r="AD206" s="1"/>
      <c r="AE206" s="1"/>
      <c r="AF206" s="1"/>
      <c r="AG206" s="1"/>
      <c r="AH206" s="1"/>
      <c r="AI206" s="528"/>
      <c r="AJ206" s="510"/>
      <c r="AK206" s="598" t="s">
        <v>153</v>
      </c>
      <c r="AL206" s="596"/>
      <c r="AM206" s="596"/>
      <c r="AN206" s="596"/>
      <c r="AO206" s="65"/>
      <c r="AP206" s="512">
        <f>+AG83</f>
        <v>742147</v>
      </c>
      <c r="AQ206" s="65"/>
      <c r="AR206" s="512">
        <f>+AG84</f>
        <v>42339</v>
      </c>
      <c r="AS206" s="65"/>
      <c r="AT206" s="65"/>
      <c r="AU206" s="65"/>
      <c r="AV206" s="533">
        <f>+AR206/AP206</f>
        <v>5.7049344671608188E-2</v>
      </c>
      <c r="AW206" s="511"/>
      <c r="AX206" s="529"/>
      <c r="AZ206" s="118"/>
      <c r="BA206" s="118"/>
      <c r="BB206" s="118"/>
      <c r="BC206" s="118"/>
    </row>
    <row r="207" spans="2:72" ht="15.6" x14ac:dyDescent="0.3">
      <c r="AD207" s="1"/>
      <c r="AE207" s="1"/>
      <c r="AF207" s="1"/>
      <c r="AG207" s="1"/>
      <c r="AH207" s="1"/>
      <c r="AI207" s="528"/>
      <c r="AJ207" s="510"/>
      <c r="AK207" s="596" t="s">
        <v>154</v>
      </c>
      <c r="AL207" s="596"/>
      <c r="AM207" s="596"/>
      <c r="AN207" s="596"/>
      <c r="AO207" s="65"/>
      <c r="AP207" s="512">
        <f>+AH113</f>
        <v>869627</v>
      </c>
      <c r="AQ207" s="65"/>
      <c r="AR207" s="512">
        <f>+AH114</f>
        <v>21252</v>
      </c>
      <c r="AS207" s="65"/>
      <c r="AT207" s="65"/>
      <c r="AU207" s="65"/>
      <c r="AV207" s="533">
        <f>+AR207/AP207</f>
        <v>2.4438063675575852E-2</v>
      </c>
      <c r="AW207" s="511"/>
      <c r="AX207" s="529"/>
      <c r="AZ207" s="118"/>
      <c r="BA207" s="118"/>
      <c r="BB207" s="118"/>
      <c r="BC207" s="118"/>
    </row>
    <row r="208" spans="2:72" ht="15.6" x14ac:dyDescent="0.3">
      <c r="D208" s="471">
        <v>32000</v>
      </c>
      <c r="AD208" s="1"/>
      <c r="AE208" s="1"/>
      <c r="AF208" s="1"/>
      <c r="AG208" s="1"/>
      <c r="AH208" s="1"/>
      <c r="AI208" s="528"/>
      <c r="AJ208" s="510"/>
      <c r="AK208" s="596" t="s">
        <v>158</v>
      </c>
      <c r="AL208" s="596"/>
      <c r="AM208" s="596"/>
      <c r="AN208" s="596"/>
      <c r="AO208" s="65"/>
      <c r="AP208" s="512">
        <f>+AG211</f>
        <v>1970617</v>
      </c>
      <c r="AQ208" s="65"/>
      <c r="AR208" s="512">
        <f>+AG213</f>
        <v>25901</v>
      </c>
      <c r="AS208" s="65"/>
      <c r="AT208" s="65"/>
      <c r="AU208" s="65"/>
      <c r="AV208" s="533">
        <f>+AR208/AP208</f>
        <v>1.3143599187462607E-2</v>
      </c>
      <c r="AW208" s="511"/>
      <c r="AX208" s="529"/>
    </row>
    <row r="209" spans="2:87" ht="15" thickBot="1" x14ac:dyDescent="0.35">
      <c r="B209" s="470"/>
      <c r="D209" s="277"/>
      <c r="AD209" s="1"/>
      <c r="AE209" s="1"/>
      <c r="AF209" s="1"/>
      <c r="AG209" s="1"/>
      <c r="AH209" s="1"/>
      <c r="AI209" s="528"/>
      <c r="AJ209" s="510"/>
      <c r="AK209" s="523"/>
      <c r="AL209" s="523"/>
      <c r="AM209" s="523"/>
      <c r="AN209" s="523"/>
      <c r="AO209" s="524"/>
      <c r="AP209" s="525"/>
      <c r="AQ209" s="524"/>
      <c r="AR209" s="525"/>
      <c r="AS209" s="524"/>
      <c r="AT209" s="524"/>
      <c r="AU209" s="524"/>
      <c r="AV209" s="526"/>
      <c r="AW209" s="511"/>
      <c r="AX209" s="529"/>
    </row>
    <row r="210" spans="2:87" ht="15.6" x14ac:dyDescent="0.3">
      <c r="B210" s="470"/>
      <c r="D210" s="277"/>
      <c r="AD210" s="1"/>
      <c r="AE210" s="1"/>
      <c r="AF210" s="1"/>
      <c r="AG210" s="1"/>
      <c r="AH210" s="1"/>
      <c r="AI210" s="528"/>
      <c r="AJ210" s="510"/>
      <c r="AK210" s="595" t="s">
        <v>152</v>
      </c>
      <c r="AL210" s="595"/>
      <c r="AM210" s="595"/>
      <c r="AN210" s="595"/>
      <c r="AO210" s="65"/>
      <c r="AP210" s="512"/>
      <c r="AQ210" s="65"/>
      <c r="AR210" s="512">
        <f>+AR205</f>
        <v>55687</v>
      </c>
      <c r="AS210" s="65"/>
      <c r="AT210" s="65"/>
      <c r="AU210" s="65"/>
      <c r="AV210" s="156"/>
      <c r="AW210" s="511"/>
      <c r="AX210" s="529"/>
    </row>
    <row r="211" spans="2:87" ht="15.6" x14ac:dyDescent="0.3">
      <c r="B211" s="470"/>
      <c r="D211" s="277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10"/>
      <c r="AE211" s="10"/>
      <c r="AF211" s="1"/>
      <c r="AG211" s="33">
        <f>SUM(D113:D143)</f>
        <v>1970617</v>
      </c>
      <c r="AH211" s="1"/>
      <c r="AI211" s="528"/>
      <c r="AJ211" s="510"/>
      <c r="AK211" s="596" t="s">
        <v>158</v>
      </c>
      <c r="AL211" s="596"/>
      <c r="AM211" s="596"/>
      <c r="AN211" s="64"/>
      <c r="AO211" s="65"/>
      <c r="AP211" s="512"/>
      <c r="AQ211" s="65"/>
      <c r="AR211" s="512">
        <f>+AR208</f>
        <v>25901</v>
      </c>
      <c r="AS211" s="65"/>
      <c r="AT211" s="65"/>
      <c r="AU211" s="65"/>
      <c r="AV211" s="156"/>
      <c r="AW211" s="511"/>
      <c r="AX211" s="529"/>
    </row>
    <row r="212" spans="2:87" ht="15.6" x14ac:dyDescent="0.3">
      <c r="B212" s="470"/>
      <c r="D212" s="277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10"/>
      <c r="AE212" s="10"/>
      <c r="AF212" s="1"/>
      <c r="AG212" s="33">
        <f>SUM(W125:W138)</f>
        <v>12117</v>
      </c>
      <c r="AH212" s="1"/>
      <c r="AI212" s="528"/>
      <c r="AJ212" s="510"/>
      <c r="AK212" s="64"/>
      <c r="AL212" s="541" t="s">
        <v>3</v>
      </c>
      <c r="AM212" s="64"/>
      <c r="AN212" s="64"/>
      <c r="AO212" s="65"/>
      <c r="AP212" s="512"/>
      <c r="AQ212" s="65"/>
      <c r="AR212" s="512">
        <f>+AR210-AR211</f>
        <v>29786</v>
      </c>
      <c r="AS212" s="65"/>
      <c r="AT212" s="65"/>
      <c r="AU212" s="65"/>
      <c r="AV212" s="527">
        <f>+AR212/AR210</f>
        <v>0.53488246808052153</v>
      </c>
      <c r="AW212" s="511"/>
      <c r="AX212" s="529"/>
    </row>
    <row r="213" spans="2:87" ht="15" thickBot="1" x14ac:dyDescent="0.35">
      <c r="D213" s="470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10"/>
      <c r="AE213" s="10"/>
      <c r="AF213" s="1"/>
      <c r="AG213" s="33">
        <f>SUM(W113:W143)</f>
        <v>25901</v>
      </c>
      <c r="AH213" s="1"/>
      <c r="AI213" s="528"/>
      <c r="AJ213" s="513"/>
      <c r="AK213" s="514"/>
      <c r="AL213" s="514"/>
      <c r="AM213" s="514"/>
      <c r="AN213" s="514"/>
      <c r="AO213" s="514"/>
      <c r="AP213" s="514"/>
      <c r="AQ213" s="514"/>
      <c r="AR213" s="514"/>
      <c r="AS213" s="514"/>
      <c r="AT213" s="514"/>
      <c r="AU213" s="514"/>
      <c r="AV213" s="514"/>
      <c r="AW213" s="515"/>
      <c r="AX213" s="529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90"/>
      <c r="BO213" s="90"/>
      <c r="BP213" s="90"/>
      <c r="BQ213" s="90"/>
      <c r="BR213" s="90"/>
      <c r="BS213" s="1"/>
      <c r="BT213" s="1"/>
      <c r="BU213" s="1"/>
      <c r="BV213" s="1"/>
      <c r="BW213" s="90"/>
      <c r="BX213" s="90"/>
      <c r="BY213" s="90"/>
      <c r="BZ213" s="90"/>
      <c r="CA213" s="90"/>
      <c r="CB213" s="90"/>
      <c r="CC213" s="90"/>
      <c r="CD213" s="90"/>
      <c r="CE213" s="90"/>
      <c r="CF213" s="90"/>
      <c r="CG213" s="90"/>
      <c r="CH213" s="90"/>
      <c r="CI213" s="90"/>
    </row>
    <row r="214" spans="2:87" x14ac:dyDescent="0.3"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10"/>
      <c r="AE214" s="10"/>
      <c r="AF214" s="10"/>
      <c r="AG214" s="10"/>
      <c r="AH214" s="10"/>
      <c r="AI214" s="528"/>
      <c r="AJ214" s="529"/>
      <c r="AK214" s="529"/>
      <c r="AL214" s="529"/>
      <c r="AM214" s="529"/>
      <c r="AN214" s="529"/>
      <c r="AO214" s="529"/>
      <c r="AP214" s="529"/>
      <c r="AQ214" s="529"/>
      <c r="AR214" s="529"/>
      <c r="AS214" s="529"/>
      <c r="AT214" s="529"/>
      <c r="AU214" s="529"/>
      <c r="AV214" s="529"/>
      <c r="AW214" s="529"/>
      <c r="AX214" s="529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89"/>
      <c r="BX214" s="89"/>
      <c r="BY214" s="89"/>
      <c r="BZ214" s="89"/>
      <c r="CA214" s="121"/>
      <c r="CB214" s="1"/>
      <c r="CC214" s="1"/>
      <c r="CD214" s="1"/>
      <c r="CE214" s="1"/>
      <c r="CF214" s="1"/>
      <c r="CG214" s="1"/>
      <c r="CH214" s="1"/>
      <c r="CI214" s="1"/>
    </row>
    <row r="215" spans="2:87" x14ac:dyDescent="0.3">
      <c r="D215">
        <v>10</v>
      </c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10"/>
      <c r="AE215" s="10"/>
      <c r="AF215" s="10"/>
      <c r="AG215" s="10"/>
      <c r="AH215" s="10"/>
      <c r="AI215" s="10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89"/>
      <c r="BX215" s="89"/>
      <c r="BY215" s="89"/>
      <c r="BZ215" s="89"/>
      <c r="CA215" s="89"/>
      <c r="CB215" s="1"/>
      <c r="CC215" s="1"/>
      <c r="CD215" s="1"/>
      <c r="CE215" s="1"/>
      <c r="CF215" s="1"/>
      <c r="CG215" s="1"/>
      <c r="CH215" s="1"/>
      <c r="CI215" s="1"/>
    </row>
    <row r="216" spans="2:87" x14ac:dyDescent="0.3">
      <c r="D216" s="1">
        <v>77000000</v>
      </c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10"/>
      <c r="AE216" s="10"/>
      <c r="AF216" s="10"/>
      <c r="AG216" s="10"/>
      <c r="AH216" s="10"/>
      <c r="AI216" s="10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89"/>
      <c r="BX216" s="89"/>
      <c r="BY216" s="89"/>
      <c r="BZ216" s="89"/>
      <c r="CA216" s="89"/>
      <c r="CB216" s="1"/>
      <c r="CC216" s="1"/>
      <c r="CD216" s="1"/>
      <c r="CE216" s="1"/>
      <c r="CF216" s="1"/>
      <c r="CG216" s="1"/>
    </row>
    <row r="217" spans="2:87" x14ac:dyDescent="0.3">
      <c r="D217" s="57">
        <f>+D216/D219</f>
        <v>0.23262839879154079</v>
      </c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10"/>
      <c r="AE217" s="10"/>
      <c r="AF217" s="10"/>
      <c r="AG217" s="545"/>
      <c r="AH217" s="10"/>
      <c r="AI217" s="10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89"/>
      <c r="BX217" s="89"/>
      <c r="BY217" s="89"/>
      <c r="BZ217" s="89"/>
      <c r="CA217" s="89"/>
      <c r="CB217" s="1"/>
      <c r="CC217" s="1"/>
      <c r="CD217" s="1"/>
      <c r="CE217" s="1"/>
      <c r="CF217" s="1"/>
      <c r="CG217" s="1"/>
    </row>
    <row r="218" spans="2:87" x14ac:dyDescent="0.3"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10"/>
      <c r="AE218" s="10"/>
      <c r="AF218" s="551"/>
      <c r="AG218" s="570"/>
      <c r="AH218" s="551"/>
      <c r="AI218" s="551"/>
      <c r="AJ218" s="544"/>
      <c r="AK218" s="544"/>
      <c r="AL218" s="544"/>
      <c r="AM218" s="544"/>
      <c r="AN218" s="544"/>
      <c r="AO218" s="544"/>
      <c r="AP218" s="544"/>
      <c r="AQ218" s="544"/>
      <c r="AR218" s="544"/>
      <c r="AS218" s="544"/>
      <c r="AT218" s="544"/>
      <c r="AU218" s="544"/>
      <c r="AV218" s="544"/>
      <c r="AW218" s="544"/>
      <c r="AX218" s="544"/>
      <c r="AY218" s="544"/>
      <c r="AZ218" s="544"/>
      <c r="BA218" s="544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89"/>
      <c r="BX218" s="89"/>
      <c r="BY218" s="122"/>
      <c r="BZ218" s="89"/>
      <c r="CA218" s="89"/>
    </row>
    <row r="219" spans="2:87" x14ac:dyDescent="0.3">
      <c r="D219" s="1">
        <v>331000000</v>
      </c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10"/>
      <c r="AE219" s="10"/>
      <c r="AF219" s="551"/>
      <c r="AG219" s="571"/>
      <c r="AH219" s="551"/>
      <c r="AI219" s="551"/>
      <c r="AJ219" s="568"/>
      <c r="AK219" s="568"/>
      <c r="AL219" s="569"/>
      <c r="AM219" s="569"/>
      <c r="AN219" s="569"/>
      <c r="AO219" s="569"/>
      <c r="AP219" s="569"/>
      <c r="AQ219" s="569"/>
      <c r="AR219" s="569"/>
      <c r="AS219" s="569"/>
      <c r="AT219" s="569"/>
      <c r="AU219" s="569"/>
      <c r="AV219" s="569"/>
      <c r="AW219" s="569"/>
      <c r="AX219" s="569"/>
      <c r="AY219" s="569"/>
      <c r="AZ219" s="569"/>
      <c r="BA219" s="569"/>
      <c r="BB219" s="90"/>
      <c r="BC219" s="90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89"/>
      <c r="BX219" s="89"/>
      <c r="BY219" s="89"/>
      <c r="BZ219" s="89"/>
      <c r="CA219" s="89"/>
    </row>
    <row r="220" spans="2:87" x14ac:dyDescent="0.3"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10"/>
      <c r="AE220" s="10"/>
      <c r="AF220" s="551"/>
      <c r="AG220" s="570"/>
      <c r="AH220" s="551"/>
      <c r="AI220" s="551"/>
      <c r="AJ220" s="568"/>
      <c r="AK220" s="568"/>
      <c r="AL220" s="150"/>
      <c r="AM220" s="150"/>
      <c r="AN220" s="150"/>
      <c r="AO220" s="150"/>
      <c r="AP220" s="150"/>
      <c r="AQ220" s="150"/>
      <c r="AR220" s="150"/>
      <c r="AS220" s="90"/>
      <c r="AT220" s="90"/>
      <c r="AU220" s="90"/>
      <c r="AV220" s="110"/>
      <c r="AW220" s="110"/>
      <c r="AX220" s="110"/>
      <c r="AY220" s="110"/>
      <c r="AZ220" s="568"/>
      <c r="BA220" s="568"/>
      <c r="BB220" s="110"/>
      <c r="BC220" s="90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89"/>
      <c r="BX220" s="89"/>
      <c r="BY220" s="89"/>
      <c r="BZ220" s="89"/>
      <c r="CA220" s="89"/>
    </row>
    <row r="221" spans="2:87" x14ac:dyDescent="0.3">
      <c r="D221" s="468">
        <v>7.1999999999999995E-2</v>
      </c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10"/>
      <c r="AE221" s="10"/>
      <c r="AF221" s="551"/>
      <c r="AG221" s="570">
        <v>44031</v>
      </c>
      <c r="AH221" s="551"/>
      <c r="AI221" s="551"/>
      <c r="AJ221" s="568"/>
      <c r="AK221" s="568"/>
      <c r="AL221" s="150"/>
      <c r="AM221" s="150"/>
      <c r="AN221" s="150"/>
      <c r="AO221" s="150"/>
      <c r="AP221" s="150"/>
      <c r="AQ221" s="150"/>
      <c r="AR221" s="150"/>
      <c r="AS221" s="150"/>
      <c r="AT221" s="110"/>
      <c r="AU221" s="90"/>
      <c r="AV221" s="110"/>
      <c r="AW221" s="110"/>
      <c r="AX221" s="110"/>
      <c r="AY221" s="110"/>
      <c r="AZ221" s="568"/>
      <c r="BA221" s="568"/>
      <c r="BB221" s="110"/>
      <c r="BC221" s="90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89"/>
      <c r="BX221" s="89"/>
      <c r="BY221" s="89"/>
      <c r="BZ221" s="89"/>
      <c r="CA221" s="89"/>
    </row>
    <row r="222" spans="2:87" x14ac:dyDescent="0.3"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10"/>
      <c r="AE222" s="10"/>
      <c r="AF222" s="551"/>
      <c r="AG222" s="570">
        <v>44038</v>
      </c>
      <c r="AH222" s="551"/>
      <c r="AI222" s="551"/>
      <c r="AJ222" s="568"/>
      <c r="AK222" s="568"/>
      <c r="AL222" s="90"/>
      <c r="AM222" s="90"/>
      <c r="AN222" s="151"/>
      <c r="AO222" s="151"/>
      <c r="AP222" s="151"/>
      <c r="AQ222" s="151"/>
      <c r="AR222" s="151"/>
      <c r="AS222" s="90"/>
      <c r="AT222" s="90"/>
      <c r="AU222" s="90"/>
      <c r="AV222" s="110"/>
      <c r="AW222" s="110"/>
      <c r="AX222" s="110"/>
      <c r="AY222" s="110"/>
      <c r="AZ222" s="568"/>
      <c r="BA222" s="568"/>
      <c r="BB222" s="110"/>
      <c r="BC222" s="90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89"/>
      <c r="BX222" s="89"/>
      <c r="BY222" s="89"/>
      <c r="BZ222" s="89"/>
      <c r="CA222" s="89"/>
    </row>
    <row r="223" spans="2:87" x14ac:dyDescent="0.3">
      <c r="D223" s="277">
        <v>4.2000000000000003E-2</v>
      </c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10"/>
      <c r="AE223" s="10"/>
      <c r="AF223" s="551"/>
      <c r="AG223" s="570">
        <v>44045</v>
      </c>
      <c r="AH223" s="551"/>
      <c r="AI223" s="551"/>
      <c r="AJ223" s="568"/>
      <c r="AK223" s="568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10"/>
      <c r="AW223" s="110"/>
      <c r="AX223" s="110"/>
      <c r="AY223" s="110"/>
      <c r="AZ223" s="568"/>
      <c r="BA223" s="568"/>
      <c r="BB223" s="110"/>
      <c r="BC223" s="90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2:87" x14ac:dyDescent="0.3">
      <c r="D224" s="1">
        <f>+D219*D221*D223</f>
        <v>1000944.0000000001</v>
      </c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10"/>
      <c r="AE224" s="10"/>
      <c r="AF224" s="551"/>
      <c r="AG224" s="570">
        <v>44052</v>
      </c>
      <c r="AH224" s="551"/>
      <c r="AI224" s="551"/>
      <c r="AJ224" s="568"/>
      <c r="AK224" s="568"/>
      <c r="AL224" s="90"/>
      <c r="AM224" s="90"/>
      <c r="AN224" s="151"/>
      <c r="AO224" s="151"/>
      <c r="AP224" s="151"/>
      <c r="AQ224" s="151"/>
      <c r="AR224" s="151"/>
      <c r="AS224" s="151"/>
      <c r="AT224" s="151"/>
      <c r="AU224" s="90"/>
      <c r="AV224" s="110"/>
      <c r="AW224" s="110"/>
      <c r="AX224" s="110"/>
      <c r="AY224" s="110"/>
      <c r="AZ224" s="568"/>
      <c r="BA224" s="568"/>
      <c r="BB224" s="110"/>
      <c r="BC224" s="90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2:79" x14ac:dyDescent="0.3"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10"/>
      <c r="AE225" s="10"/>
      <c r="AF225" s="551"/>
      <c r="AG225" s="570"/>
      <c r="AH225" s="551"/>
      <c r="AI225" s="551"/>
      <c r="AJ225" s="568"/>
      <c r="AK225" s="568"/>
      <c r="AL225" s="90"/>
      <c r="AM225" s="90"/>
      <c r="AN225" s="151"/>
      <c r="AO225" s="151"/>
      <c r="AP225" s="151"/>
      <c r="AQ225" s="151"/>
      <c r="AR225" s="151"/>
      <c r="AS225" s="151"/>
      <c r="AT225" s="151"/>
      <c r="AU225" s="90"/>
      <c r="AV225" s="110"/>
      <c r="AW225" s="110"/>
      <c r="AX225" s="110"/>
      <c r="AY225" s="110"/>
      <c r="AZ225" s="568"/>
      <c r="BA225" s="568"/>
      <c r="BB225" s="110"/>
      <c r="BC225" s="90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2:79" x14ac:dyDescent="0.3"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10"/>
      <c r="AE226" s="10"/>
      <c r="AF226" s="551"/>
      <c r="AG226" s="570"/>
      <c r="AH226" s="551"/>
      <c r="AI226" s="551"/>
      <c r="AJ226" s="568"/>
      <c r="AK226" s="568"/>
      <c r="AL226" s="90"/>
      <c r="AM226" s="90"/>
      <c r="AN226" s="151"/>
      <c r="AO226" s="151"/>
      <c r="AP226" s="151"/>
      <c r="AQ226" s="151"/>
      <c r="AR226" s="151"/>
      <c r="AS226" s="151"/>
      <c r="AT226" s="151"/>
      <c r="AU226" s="90"/>
      <c r="AV226" s="110"/>
      <c r="AW226" s="110"/>
      <c r="AX226" s="110"/>
      <c r="AY226" s="110"/>
      <c r="AZ226" s="568"/>
      <c r="BA226" s="568"/>
      <c r="BB226" s="110"/>
      <c r="BC226" s="90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2:79" x14ac:dyDescent="0.3"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10"/>
      <c r="AE227" s="10"/>
      <c r="AF227" s="551"/>
      <c r="AG227" s="572"/>
      <c r="AH227" s="551"/>
      <c r="AI227" s="551"/>
      <c r="AJ227" s="568"/>
      <c r="AK227" s="568"/>
      <c r="AL227" s="90"/>
      <c r="AM227" s="90"/>
      <c r="AN227" s="151"/>
      <c r="AO227" s="151"/>
      <c r="AP227" s="151"/>
      <c r="AQ227" s="151"/>
      <c r="AR227" s="151"/>
      <c r="AS227" s="151"/>
      <c r="AT227" s="151"/>
      <c r="AU227" s="90"/>
      <c r="AV227" s="110"/>
      <c r="AW227" s="110"/>
      <c r="AX227" s="110"/>
      <c r="AY227" s="110"/>
      <c r="AZ227" s="568"/>
      <c r="BA227" s="568"/>
      <c r="BB227" s="110"/>
      <c r="BC227" s="90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2:79" x14ac:dyDescent="0.3"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10"/>
      <c r="AE228" s="10"/>
      <c r="AF228" s="551"/>
      <c r="AG228" s="551"/>
      <c r="AH228" s="551"/>
      <c r="AI228" s="551"/>
      <c r="AJ228" s="568"/>
      <c r="AK228" s="568"/>
      <c r="AL228" s="90"/>
      <c r="AM228" s="90"/>
      <c r="AN228" s="151"/>
      <c r="AO228" s="151"/>
      <c r="AP228" s="151"/>
      <c r="AQ228" s="151"/>
      <c r="AR228" s="151"/>
      <c r="AS228" s="151"/>
      <c r="AT228" s="151"/>
      <c r="AU228" s="90"/>
      <c r="AV228" s="110"/>
      <c r="AW228" s="110"/>
      <c r="AX228" s="110"/>
      <c r="AY228" s="110"/>
      <c r="AZ228" s="568"/>
      <c r="BA228" s="568"/>
      <c r="BB228" s="110"/>
      <c r="BC228" s="90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2:79" x14ac:dyDescent="0.3"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10"/>
      <c r="AE229" s="10"/>
      <c r="AF229" s="551"/>
      <c r="AG229" s="551"/>
      <c r="AH229" s="551"/>
      <c r="AI229" s="551"/>
      <c r="AJ229" s="568"/>
      <c r="AK229" s="568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90"/>
      <c r="AW229" s="90"/>
      <c r="AX229" s="90"/>
      <c r="AY229" s="90"/>
      <c r="AZ229" s="568"/>
      <c r="BA229" s="574"/>
      <c r="BB229" s="110"/>
      <c r="BC229" s="90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2:79" x14ac:dyDescent="0.3">
      <c r="AD230" s="10"/>
      <c r="AE230" s="10"/>
      <c r="AF230" s="551"/>
      <c r="AG230" s="551"/>
      <c r="AH230" s="551"/>
      <c r="AI230" s="551"/>
      <c r="AJ230" s="568"/>
      <c r="AK230" s="568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90"/>
      <c r="AW230" s="90"/>
      <c r="AX230" s="90"/>
      <c r="AY230" s="90"/>
      <c r="AZ230" s="568"/>
      <c r="BA230" s="574"/>
      <c r="BB230" s="110"/>
      <c r="BC230" s="90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2:79" ht="15" thickBot="1" x14ac:dyDescent="0.35">
      <c r="B231" s="544"/>
      <c r="C231" s="544"/>
      <c r="D231" s="544"/>
      <c r="E231" s="544"/>
      <c r="F231" s="544"/>
      <c r="G231" s="544"/>
      <c r="H231" s="544"/>
      <c r="I231" s="544"/>
      <c r="J231" s="544"/>
      <c r="K231" s="544"/>
      <c r="L231" s="544"/>
      <c r="M231" s="544"/>
      <c r="N231" s="544"/>
      <c r="O231" s="544"/>
      <c r="P231" s="544"/>
      <c r="Q231" s="544"/>
      <c r="R231" s="544"/>
      <c r="S231" s="544"/>
      <c r="T231" s="544"/>
      <c r="U231" s="544"/>
      <c r="V231" s="544"/>
      <c r="AD231" s="10"/>
      <c r="AE231" s="10"/>
      <c r="AF231" s="551"/>
      <c r="AG231" s="551"/>
      <c r="AH231" s="551"/>
      <c r="AI231" s="551"/>
      <c r="AJ231" s="568"/>
      <c r="AK231" s="568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90"/>
      <c r="AW231" s="90"/>
      <c r="AX231" s="90"/>
      <c r="AY231" s="90"/>
      <c r="AZ231" s="568"/>
      <c r="BA231" s="574"/>
      <c r="BB231" s="110"/>
      <c r="BC231" s="90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2:79" x14ac:dyDescent="0.3">
      <c r="B232" s="544"/>
      <c r="C232" s="554"/>
      <c r="D232" s="400"/>
      <c r="E232" s="400"/>
      <c r="F232" s="400"/>
      <c r="G232" s="400"/>
      <c r="H232" s="400"/>
      <c r="I232" s="400"/>
      <c r="J232" s="400"/>
      <c r="K232" s="400"/>
      <c r="L232" s="400"/>
      <c r="M232" s="400"/>
      <c r="N232" s="400"/>
      <c r="O232" s="400"/>
      <c r="P232" s="555"/>
      <c r="V232" s="544"/>
      <c r="AD232" s="10"/>
      <c r="AE232" s="10"/>
      <c r="AF232" s="551"/>
      <c r="AG232" s="551"/>
      <c r="AH232" s="551"/>
      <c r="AI232" s="551"/>
      <c r="AJ232" s="568"/>
      <c r="AK232" s="568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90"/>
      <c r="AW232" s="90"/>
      <c r="AX232" s="90"/>
      <c r="AY232" s="90"/>
      <c r="AZ232" s="568"/>
      <c r="BA232" s="574"/>
      <c r="BB232" s="110"/>
      <c r="BC232" s="90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2:79" x14ac:dyDescent="0.3">
      <c r="B233" s="544"/>
      <c r="C233" s="556"/>
      <c r="D233" s="546" t="s">
        <v>164</v>
      </c>
      <c r="E233" s="430"/>
      <c r="F233" s="430"/>
      <c r="G233" s="430"/>
      <c r="H233" s="575" t="s">
        <v>20</v>
      </c>
      <c r="I233" s="575"/>
      <c r="J233" s="575"/>
      <c r="K233" s="430"/>
      <c r="L233" s="430"/>
      <c r="M233" s="430"/>
      <c r="N233" s="430"/>
      <c r="O233" s="430"/>
      <c r="P233" s="557"/>
      <c r="V233" s="544"/>
      <c r="AD233" s="10"/>
      <c r="AE233" s="10"/>
      <c r="AF233" s="551"/>
      <c r="AG233" s="551"/>
      <c r="AH233" s="551"/>
      <c r="AI233" s="551"/>
      <c r="AJ233" s="568"/>
      <c r="AK233" s="568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90"/>
      <c r="AW233" s="90"/>
      <c r="AX233" s="90"/>
      <c r="AY233" s="90"/>
      <c r="AZ233" s="568"/>
      <c r="BA233" s="574"/>
      <c r="BB233" s="110"/>
      <c r="BC233" s="90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2:79" x14ac:dyDescent="0.3">
      <c r="B234" s="544"/>
      <c r="C234" s="556"/>
      <c r="D234" s="558" t="s">
        <v>165</v>
      </c>
      <c r="E234" s="430"/>
      <c r="F234" s="430"/>
      <c r="G234" s="430"/>
      <c r="H234" s="559" t="s">
        <v>162</v>
      </c>
      <c r="I234" s="546"/>
      <c r="J234" s="560" t="s">
        <v>163</v>
      </c>
      <c r="K234" s="546"/>
      <c r="L234" s="546"/>
      <c r="M234" s="546"/>
      <c r="N234" s="546"/>
      <c r="O234" s="561" t="s">
        <v>3</v>
      </c>
      <c r="P234" s="557"/>
      <c r="V234" s="544"/>
      <c r="AD234" s="10"/>
      <c r="AE234" s="10"/>
      <c r="AF234" s="551"/>
      <c r="AG234" s="551"/>
      <c r="AH234" s="551"/>
      <c r="AI234" s="551"/>
      <c r="AJ234" s="568"/>
      <c r="AK234" s="568"/>
      <c r="AL234" s="573"/>
      <c r="AM234" s="573"/>
      <c r="AN234" s="573"/>
      <c r="AO234" s="573"/>
      <c r="AP234" s="573"/>
      <c r="AQ234" s="573"/>
      <c r="AR234" s="573"/>
      <c r="AS234" s="573"/>
      <c r="AT234" s="573"/>
      <c r="AU234" s="573"/>
      <c r="AV234" s="568"/>
      <c r="AW234" s="568"/>
      <c r="AX234" s="568"/>
      <c r="AY234" s="568"/>
      <c r="AZ234" s="568"/>
      <c r="BA234" s="574"/>
      <c r="BB234" s="110"/>
      <c r="BC234" s="90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2:79" x14ac:dyDescent="0.3">
      <c r="B235" s="544"/>
      <c r="C235" s="556"/>
      <c r="D235" s="547" t="s">
        <v>161</v>
      </c>
      <c r="E235" s="15"/>
      <c r="F235" s="15"/>
      <c r="G235" s="15"/>
      <c r="H235" s="562">
        <f>SUM(D133:D139)</f>
        <v>471981</v>
      </c>
      <c r="I235" s="15"/>
      <c r="J235" s="16">
        <f>+H235/7</f>
        <v>67425.857142857145</v>
      </c>
      <c r="K235" s="15"/>
      <c r="L235" s="15"/>
      <c r="M235" s="15"/>
      <c r="N235" s="15"/>
      <c r="O235" s="15"/>
      <c r="P235" s="557"/>
      <c r="V235" s="544"/>
      <c r="AD235" s="10"/>
      <c r="AE235" s="10"/>
      <c r="AF235" s="551"/>
      <c r="AG235" s="551"/>
      <c r="AH235" s="551"/>
      <c r="AI235" s="551"/>
      <c r="AJ235" s="568"/>
      <c r="AK235" s="568"/>
      <c r="AL235" s="573"/>
      <c r="AM235" s="573"/>
      <c r="AN235" s="573"/>
      <c r="AO235" s="573"/>
      <c r="AP235" s="573"/>
      <c r="AQ235" s="573"/>
      <c r="AR235" s="573"/>
      <c r="AS235" s="573"/>
      <c r="AT235" s="573"/>
      <c r="AU235" s="573"/>
      <c r="AV235" s="573"/>
      <c r="AW235" s="573"/>
      <c r="AX235" s="573"/>
      <c r="AY235" s="573"/>
      <c r="AZ235" s="568"/>
      <c r="BA235" s="568"/>
      <c r="BB235" s="110"/>
      <c r="BC235" s="90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2:79" x14ac:dyDescent="0.3">
      <c r="B236" s="544"/>
      <c r="C236" s="556"/>
      <c r="D236" s="547" t="s">
        <v>160</v>
      </c>
      <c r="E236" s="15"/>
      <c r="F236" s="15"/>
      <c r="G236" s="15"/>
      <c r="H236" s="16">
        <f>SUM(D140:D146)</f>
        <v>427527</v>
      </c>
      <c r="I236" s="15"/>
      <c r="J236" s="16">
        <f>+H236/7</f>
        <v>61075.285714285717</v>
      </c>
      <c r="K236" s="15"/>
      <c r="L236" s="15"/>
      <c r="M236" s="15"/>
      <c r="N236" s="15"/>
      <c r="O236" s="15"/>
      <c r="P236" s="557"/>
      <c r="V236" s="544"/>
      <c r="AJ236" s="110"/>
      <c r="AK236" s="110"/>
      <c r="AL236" s="110"/>
      <c r="AM236" s="110"/>
      <c r="AN236" s="110"/>
      <c r="AO236" s="110"/>
      <c r="AP236" s="110"/>
      <c r="AQ236" s="110"/>
      <c r="AR236" s="110"/>
      <c r="AS236" s="110"/>
      <c r="AT236" s="90"/>
      <c r="AU236" s="110"/>
      <c r="AV236" s="152"/>
      <c r="AW236" s="152"/>
      <c r="AX236" s="152"/>
      <c r="AY236" s="152"/>
      <c r="AZ236" s="110"/>
      <c r="BA236" s="110"/>
      <c r="BB236" s="110"/>
      <c r="BC236" s="110"/>
    </row>
    <row r="237" spans="2:79" x14ac:dyDescent="0.3">
      <c r="B237" s="550"/>
      <c r="C237" s="556"/>
      <c r="D237" s="547" t="s">
        <v>159</v>
      </c>
      <c r="E237" s="15"/>
      <c r="F237" s="15"/>
      <c r="G237" s="15"/>
      <c r="H237" s="16">
        <f>SUM(D147:D153)</f>
        <v>383516</v>
      </c>
      <c r="I237" s="15"/>
      <c r="J237" s="16">
        <f>+H237/7</f>
        <v>54788</v>
      </c>
      <c r="K237" s="15"/>
      <c r="L237" s="15"/>
      <c r="M237" s="15"/>
      <c r="N237" s="15"/>
      <c r="O237" s="562">
        <f>+H235-H237</f>
        <v>88465</v>
      </c>
      <c r="P237" s="557"/>
      <c r="V237" s="544"/>
      <c r="AA237">
        <f>+O237/7</f>
        <v>12637.857142857143</v>
      </c>
      <c r="AJ237" s="110"/>
      <c r="AK237" s="110"/>
      <c r="AL237" s="110"/>
      <c r="AM237" s="110"/>
      <c r="AN237" s="110"/>
      <c r="AO237" s="110"/>
      <c r="AP237" s="110"/>
      <c r="AQ237" s="110"/>
      <c r="AR237" s="110"/>
      <c r="AS237" s="110"/>
      <c r="AT237" s="110"/>
      <c r="AU237" s="110"/>
      <c r="AV237" s="90"/>
      <c r="AW237" s="90"/>
      <c r="AX237" s="90"/>
      <c r="AY237" s="90"/>
      <c r="AZ237" s="110"/>
      <c r="BA237" s="153"/>
      <c r="BB237" s="110"/>
      <c r="BC237" s="110"/>
    </row>
    <row r="238" spans="2:79" x14ac:dyDescent="0.3">
      <c r="B238" s="551"/>
      <c r="C238" s="556"/>
      <c r="D238" s="563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60">
        <f>+O237/H235</f>
        <v>0.18743339244588236</v>
      </c>
      <c r="P238" s="557"/>
      <c r="V238" s="544"/>
      <c r="X238" s="61"/>
      <c r="Y238" s="61"/>
      <c r="Z238" s="110"/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0"/>
      <c r="AK238" s="110"/>
      <c r="AL238" s="110"/>
      <c r="AM238" s="110"/>
      <c r="AN238" s="110"/>
      <c r="AO238" s="110"/>
      <c r="AP238" s="90">
        <v>480454</v>
      </c>
      <c r="AQ238" s="110"/>
      <c r="AR238" s="110"/>
      <c r="AS238" s="110"/>
      <c r="AT238" s="110"/>
      <c r="AU238" s="110"/>
      <c r="AV238" s="110"/>
      <c r="AW238" s="110"/>
      <c r="AX238" s="110"/>
      <c r="AY238" s="110"/>
      <c r="AZ238" s="110"/>
      <c r="BA238" s="110"/>
      <c r="BB238" s="110"/>
      <c r="BC238" s="110"/>
    </row>
    <row r="239" spans="2:79" ht="15" thickBot="1" x14ac:dyDescent="0.35">
      <c r="B239" s="551"/>
      <c r="C239" s="564"/>
      <c r="D239" s="565"/>
      <c r="E239" s="565"/>
      <c r="F239" s="565"/>
      <c r="G239" s="565"/>
      <c r="H239" s="565"/>
      <c r="I239" s="565"/>
      <c r="J239" s="566"/>
      <c r="K239" s="565"/>
      <c r="L239" s="565"/>
      <c r="M239" s="565"/>
      <c r="N239" s="565"/>
      <c r="O239" s="565"/>
      <c r="P239" s="567"/>
      <c r="V239" s="544"/>
      <c r="X239" s="61"/>
      <c r="Y239" s="61"/>
      <c r="Z239" s="110"/>
      <c r="AA239" s="110"/>
      <c r="AB239" s="110"/>
      <c r="AC239" s="110"/>
      <c r="AD239" s="110"/>
      <c r="AE239" s="110"/>
      <c r="AF239" s="110"/>
      <c r="AG239" s="110"/>
      <c r="AH239" s="110"/>
      <c r="AI239" s="110"/>
      <c r="AJ239" s="110"/>
      <c r="AK239" s="110"/>
      <c r="AL239" s="110"/>
      <c r="AM239" s="110"/>
      <c r="AN239" s="110"/>
      <c r="AO239" s="110"/>
      <c r="AP239" s="152">
        <f>+N187</f>
        <v>245652</v>
      </c>
      <c r="AQ239" s="110"/>
      <c r="AR239" s="110"/>
      <c r="AS239" s="110"/>
      <c r="AT239" s="110"/>
      <c r="AU239" s="110"/>
      <c r="AV239" s="110"/>
      <c r="AW239" s="110"/>
      <c r="AX239" s="110"/>
      <c r="AY239" s="110"/>
      <c r="AZ239" s="110"/>
      <c r="BA239" s="110"/>
      <c r="BB239" s="110"/>
      <c r="BC239" s="110"/>
    </row>
    <row r="240" spans="2:79" x14ac:dyDescent="0.3">
      <c r="B240" s="551"/>
      <c r="C240" s="544"/>
      <c r="D240" s="552"/>
      <c r="E240" s="544"/>
      <c r="F240" s="544"/>
      <c r="G240" s="544"/>
      <c r="H240" s="553"/>
      <c r="I240" s="544"/>
      <c r="J240" s="544"/>
      <c r="K240" s="544"/>
      <c r="L240" s="544"/>
      <c r="M240" s="544"/>
      <c r="N240" s="544"/>
      <c r="O240" s="544"/>
      <c r="P240" s="544"/>
      <c r="Q240" s="544"/>
      <c r="R240" s="544"/>
      <c r="S240" s="544"/>
      <c r="T240" s="544"/>
      <c r="U240" s="544"/>
      <c r="V240" s="544"/>
      <c r="X240" s="61"/>
      <c r="Y240" s="61"/>
      <c r="Z240" s="110"/>
      <c r="AA240" s="110"/>
      <c r="AB240" s="110"/>
      <c r="AC240" s="110"/>
      <c r="AD240" s="110"/>
      <c r="AE240" s="110"/>
      <c r="AF240" s="110"/>
      <c r="AG240" s="110"/>
      <c r="AH240" s="110"/>
      <c r="AI240" s="110"/>
      <c r="AJ240" s="110"/>
      <c r="AK240" s="110"/>
      <c r="AL240" s="110"/>
      <c r="AM240" s="110"/>
      <c r="AN240" s="110"/>
      <c r="AO240" s="110"/>
      <c r="AP240" s="152">
        <f>+AP238-AP239</f>
        <v>234802</v>
      </c>
      <c r="AQ240" s="110"/>
      <c r="AR240" s="110"/>
    </row>
    <row r="241" spans="2:44" x14ac:dyDescent="0.3">
      <c r="B241" s="1"/>
      <c r="D241" s="55"/>
      <c r="X241" s="61"/>
      <c r="Y241" s="61"/>
      <c r="Z241" s="110"/>
      <c r="AA241" s="110"/>
      <c r="AB241" s="110"/>
      <c r="AC241" s="110"/>
      <c r="AD241" s="110"/>
      <c r="AE241" s="110"/>
      <c r="AF241" s="110"/>
      <c r="AG241" s="110"/>
      <c r="AH241" s="110"/>
      <c r="AI241" s="110"/>
      <c r="AJ241" s="110"/>
      <c r="AK241" s="110"/>
      <c r="AL241" s="110"/>
      <c r="AM241" s="110"/>
      <c r="AN241" s="110"/>
      <c r="AO241" s="110"/>
      <c r="AP241" s="96">
        <f>+AP240/AP238</f>
        <v>0.48870859645252201</v>
      </c>
      <c r="AQ241" s="110"/>
      <c r="AR241" s="110"/>
    </row>
    <row r="242" spans="2:44" x14ac:dyDescent="0.3">
      <c r="B242" s="55"/>
      <c r="D242" s="55"/>
      <c r="J242" s="56">
        <f>+J235-J237</f>
        <v>12637.857142857145</v>
      </c>
      <c r="X242" s="61"/>
      <c r="Y242" s="61"/>
      <c r="Z242" s="110"/>
      <c r="AA242" s="110"/>
      <c r="AB242" s="110"/>
      <c r="AC242" s="110"/>
      <c r="AD242" s="110"/>
      <c r="AE242" s="110"/>
      <c r="AF242" s="110"/>
      <c r="AG242" s="110"/>
      <c r="AH242" s="110"/>
      <c r="AI242" s="110"/>
      <c r="AJ242" s="110"/>
      <c r="AK242" s="110"/>
      <c r="AL242" s="110"/>
      <c r="AM242" s="110"/>
      <c r="AN242" s="110"/>
      <c r="AO242" s="110"/>
      <c r="AP242" s="110"/>
      <c r="AQ242" s="110"/>
      <c r="AR242" s="110"/>
    </row>
    <row r="243" spans="2:44" x14ac:dyDescent="0.3">
      <c r="B243" s="57"/>
      <c r="D243" s="55"/>
      <c r="X243" s="61"/>
      <c r="Y243" s="61"/>
      <c r="Z243" s="110"/>
      <c r="AA243" s="110"/>
      <c r="AB243" s="110"/>
      <c r="AC243" s="110"/>
      <c r="AD243" s="110"/>
      <c r="AE243" s="110"/>
      <c r="AF243" s="110"/>
      <c r="AG243" s="110"/>
      <c r="AH243" s="110"/>
      <c r="AI243" s="110"/>
      <c r="AJ243" s="110"/>
      <c r="AK243" s="110"/>
      <c r="AL243" s="110"/>
      <c r="AM243" s="110"/>
      <c r="AN243" s="110"/>
      <c r="AO243" s="110"/>
      <c r="AP243" s="110"/>
      <c r="AQ243" s="110"/>
      <c r="AR243" s="110"/>
    </row>
    <row r="244" spans="2:44" x14ac:dyDescent="0.3">
      <c r="B244" s="1"/>
      <c r="D244" s="55"/>
      <c r="X244" s="61"/>
      <c r="Y244" s="61"/>
      <c r="Z244" s="110"/>
      <c r="AA244" s="110"/>
      <c r="AB244" s="110"/>
      <c r="AC244" s="110"/>
      <c r="AD244" s="110"/>
      <c r="AE244" s="110"/>
      <c r="AF244" s="110"/>
      <c r="AG244" s="110"/>
      <c r="AH244" s="110"/>
      <c r="AI244" s="110"/>
      <c r="AJ244" s="110"/>
      <c r="AK244" s="110"/>
      <c r="AL244" s="110"/>
      <c r="AM244" s="110"/>
      <c r="AN244" s="110"/>
      <c r="AO244" s="110"/>
      <c r="AP244" s="110"/>
      <c r="AQ244" s="110"/>
      <c r="AR244" s="110"/>
    </row>
    <row r="245" spans="2:44" x14ac:dyDescent="0.3">
      <c r="B245" s="1"/>
      <c r="D245" s="55"/>
      <c r="Z245" s="118"/>
      <c r="AA245" s="118"/>
      <c r="AB245" s="118"/>
      <c r="AC245" s="118"/>
      <c r="AD245" s="118"/>
      <c r="AE245" s="118"/>
      <c r="AF245" s="118"/>
      <c r="AG245" s="118"/>
      <c r="AH245" s="118"/>
      <c r="AI245" s="118"/>
      <c r="AJ245" s="118"/>
      <c r="AK245" s="118"/>
      <c r="AL245" s="118"/>
      <c r="AM245" s="118"/>
      <c r="AN245" s="118"/>
      <c r="AO245" s="118"/>
      <c r="AP245" s="118"/>
      <c r="AQ245" s="118"/>
      <c r="AR245" s="118"/>
    </row>
    <row r="246" spans="2:44" x14ac:dyDescent="0.3">
      <c r="B246" s="1"/>
      <c r="D246" s="55"/>
    </row>
    <row r="247" spans="2:44" x14ac:dyDescent="0.3">
      <c r="B247" s="1"/>
      <c r="D247" s="55"/>
    </row>
    <row r="248" spans="2:44" x14ac:dyDescent="0.3">
      <c r="B248" s="57" t="e">
        <f>+B247/B246</f>
        <v>#DIV/0!</v>
      </c>
      <c r="D248" s="55"/>
    </row>
    <row r="249" spans="2:44" x14ac:dyDescent="0.3">
      <c r="B249" s="1"/>
      <c r="D249" s="55"/>
    </row>
    <row r="250" spans="2:44" x14ac:dyDescent="0.3">
      <c r="B250" s="1"/>
      <c r="D250" s="55"/>
    </row>
    <row r="251" spans="2:44" x14ac:dyDescent="0.3">
      <c r="B251" s="1">
        <f>+B247*50</f>
        <v>0</v>
      </c>
      <c r="D251" s="55"/>
    </row>
    <row r="252" spans="2:44" x14ac:dyDescent="0.3">
      <c r="B252" s="1"/>
      <c r="D252" s="55"/>
    </row>
    <row r="253" spans="2:44" x14ac:dyDescent="0.3">
      <c r="B253" s="1"/>
      <c r="D253" s="55"/>
    </row>
    <row r="254" spans="2:44" x14ac:dyDescent="0.3">
      <c r="B254" s="1"/>
      <c r="D254" s="55"/>
    </row>
    <row r="255" spans="2:44" x14ac:dyDescent="0.3">
      <c r="B255" s="1"/>
      <c r="D255" s="55"/>
    </row>
    <row r="256" spans="2:44" x14ac:dyDescent="0.3">
      <c r="B256" s="1"/>
      <c r="D256" s="55"/>
    </row>
    <row r="257" spans="2:4" x14ac:dyDescent="0.3">
      <c r="B257" s="1"/>
      <c r="D257" s="55"/>
    </row>
    <row r="258" spans="2:4" x14ac:dyDescent="0.3">
      <c r="B258" s="1"/>
      <c r="D258" s="55"/>
    </row>
    <row r="259" spans="2:4" x14ac:dyDescent="0.3">
      <c r="B259" s="1"/>
      <c r="D259" s="55"/>
    </row>
    <row r="260" spans="2:4" x14ac:dyDescent="0.3">
      <c r="B260" s="1"/>
      <c r="D260" s="55"/>
    </row>
    <row r="261" spans="2:4" x14ac:dyDescent="0.3">
      <c r="B261" s="1"/>
    </row>
    <row r="262" spans="2:4" x14ac:dyDescent="0.3">
      <c r="B262" s="1"/>
    </row>
    <row r="263" spans="2:4" x14ac:dyDescent="0.3">
      <c r="B263" s="1"/>
    </row>
    <row r="264" spans="2:4" x14ac:dyDescent="0.3">
      <c r="B264" s="1"/>
    </row>
    <row r="265" spans="2:4" x14ac:dyDescent="0.3">
      <c r="B265" s="1"/>
    </row>
    <row r="266" spans="2:4" x14ac:dyDescent="0.3">
      <c r="B266" s="1"/>
    </row>
    <row r="267" spans="2:4" x14ac:dyDescent="0.3">
      <c r="B267" s="1"/>
    </row>
    <row r="268" spans="2:4" x14ac:dyDescent="0.3">
      <c r="B268" s="1"/>
    </row>
  </sheetData>
  <mergeCells count="28">
    <mergeCell ref="AK206:AN206"/>
    <mergeCell ref="AK207:AN207"/>
    <mergeCell ref="AK208:AN208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H233:J233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K210:AN210"/>
    <mergeCell ref="AK211:AM211"/>
    <mergeCell ref="AK204:AN204"/>
    <mergeCell ref="AK203:AV203"/>
    <mergeCell ref="AK205:AN205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208"/>
  <sheetViews>
    <sheetView topLeftCell="A4" workbookViewId="0">
      <selection activeCell="AF29" sqref="AF29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6" t="s">
        <v>5</v>
      </c>
      <c r="D1" s="166"/>
      <c r="E1" s="166"/>
    </row>
    <row r="2" spans="3:40" ht="15.6" x14ac:dyDescent="0.3">
      <c r="C2" s="166" t="s">
        <v>6</v>
      </c>
      <c r="D2" s="166"/>
      <c r="E2" s="166"/>
    </row>
    <row r="3" spans="3:40" x14ac:dyDescent="0.3">
      <c r="C3" s="167" t="s">
        <v>13</v>
      </c>
      <c r="D3" s="167"/>
    </row>
    <row r="4" spans="3:40" x14ac:dyDescent="0.3">
      <c r="D4" s="167"/>
      <c r="E4" s="167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611" t="s">
        <v>7</v>
      </c>
      <c r="F7" s="612"/>
      <c r="G7" s="616">
        <v>0.7</v>
      </c>
      <c r="H7" s="616"/>
      <c r="I7" s="616"/>
      <c r="J7" s="616"/>
      <c r="K7" s="616"/>
      <c r="L7" s="616"/>
      <c r="M7" s="616"/>
      <c r="N7" s="616"/>
      <c r="O7" s="616"/>
      <c r="P7" s="616"/>
      <c r="Q7" s="616"/>
      <c r="R7" s="616"/>
      <c r="S7" s="616"/>
      <c r="T7" s="616"/>
      <c r="U7" s="617"/>
    </row>
    <row r="8" spans="3:40" x14ac:dyDescent="0.3">
      <c r="E8" s="613" t="s">
        <v>123</v>
      </c>
      <c r="F8" s="614"/>
      <c r="G8" s="614"/>
      <c r="H8" s="614"/>
      <c r="I8" s="614"/>
      <c r="J8" s="614"/>
      <c r="K8" s="614"/>
      <c r="L8" s="614"/>
      <c r="M8" s="614"/>
      <c r="N8" s="614"/>
      <c r="O8" s="614"/>
      <c r="P8" s="614"/>
      <c r="Q8" s="614"/>
      <c r="R8" s="614"/>
      <c r="S8" s="614"/>
      <c r="T8" s="614"/>
      <c r="U8" s="615"/>
    </row>
    <row r="9" spans="3:40" x14ac:dyDescent="0.3">
      <c r="E9" s="631" t="s">
        <v>37</v>
      </c>
      <c r="F9" s="632"/>
      <c r="G9" s="632"/>
      <c r="H9" s="632"/>
      <c r="I9" s="632"/>
      <c r="J9" s="632"/>
      <c r="K9" s="632"/>
      <c r="L9" s="632"/>
      <c r="M9" s="632"/>
      <c r="N9" s="632"/>
      <c r="O9" s="632"/>
      <c r="P9" s="633"/>
      <c r="Q9" s="629" t="s">
        <v>116</v>
      </c>
      <c r="R9" s="5"/>
      <c r="S9" s="626" t="s">
        <v>4</v>
      </c>
      <c r="T9" s="627"/>
      <c r="U9" s="628"/>
      <c r="W9" s="58" t="s">
        <v>18</v>
      </c>
    </row>
    <row r="10" spans="3:40" x14ac:dyDescent="0.3">
      <c r="E10" s="282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2" t="s">
        <v>79</v>
      </c>
      <c r="N10" s="119"/>
      <c r="O10" s="120" t="s">
        <v>15</v>
      </c>
      <c r="P10" s="371"/>
      <c r="Q10" s="630"/>
      <c r="R10" s="6"/>
      <c r="S10" s="4" t="s">
        <v>4</v>
      </c>
      <c r="T10" s="6"/>
      <c r="U10" s="283" t="s">
        <v>80</v>
      </c>
    </row>
    <row r="11" spans="3:40" x14ac:dyDescent="0.3">
      <c r="C11" s="170">
        <v>43910</v>
      </c>
      <c r="E11" s="28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2"/>
      <c r="R11" s="6"/>
      <c r="S11" s="6"/>
      <c r="T11" s="6"/>
      <c r="U11" s="285"/>
      <c r="W11">
        <v>1</v>
      </c>
      <c r="AL11" s="110"/>
      <c r="AM11" s="110"/>
      <c r="AN11" s="110"/>
    </row>
    <row r="12" spans="3:40" ht="15" thickBot="1" x14ac:dyDescent="0.35">
      <c r="C12" s="170">
        <f>+C11+1</f>
        <v>43911</v>
      </c>
      <c r="E12" s="28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2"/>
      <c r="R12" s="6"/>
      <c r="S12" s="6"/>
      <c r="T12" s="6"/>
      <c r="U12" s="285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0">
        <f>+C12+1</f>
        <v>43912</v>
      </c>
      <c r="E13" s="28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2"/>
      <c r="R13" s="6"/>
      <c r="S13" s="6"/>
      <c r="T13" s="6"/>
      <c r="U13" s="285"/>
      <c r="W13">
        <f t="shared" si="0"/>
        <v>3</v>
      </c>
      <c r="Z13" s="1"/>
      <c r="AA13" s="1"/>
      <c r="AB13" s="1"/>
      <c r="AC13" s="202" t="s">
        <v>60</v>
      </c>
      <c r="AD13" s="203"/>
      <c r="AE13" s="203"/>
      <c r="AF13" s="203"/>
      <c r="AG13" s="203"/>
      <c r="AH13" s="203"/>
      <c r="AI13" s="203"/>
      <c r="AJ13" s="203"/>
      <c r="AK13" s="204"/>
      <c r="AL13" s="154"/>
      <c r="AM13" s="154"/>
      <c r="AN13" s="110"/>
    </row>
    <row r="14" spans="3:40" ht="15" thickBot="1" x14ac:dyDescent="0.35">
      <c r="C14" s="170">
        <f t="shared" ref="C14:C97" si="1">+C13+1</f>
        <v>43913</v>
      </c>
      <c r="E14" s="28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2"/>
      <c r="R14" s="6"/>
      <c r="S14" s="6"/>
      <c r="T14" s="6"/>
      <c r="U14" s="285"/>
      <c r="W14">
        <f t="shared" si="0"/>
        <v>4</v>
      </c>
      <c r="Z14" s="1"/>
      <c r="AA14" s="1"/>
      <c r="AB14" s="1"/>
      <c r="AC14" s="205"/>
      <c r="AD14" s="623" t="s">
        <v>48</v>
      </c>
      <c r="AE14" s="624"/>
      <c r="AF14" s="625"/>
      <c r="AG14" s="206"/>
      <c r="AH14" s="621" t="s">
        <v>32</v>
      </c>
      <c r="AI14" s="207"/>
      <c r="AJ14" s="207"/>
      <c r="AK14" s="208"/>
      <c r="AL14" s="110"/>
      <c r="AM14" s="110"/>
      <c r="AN14" s="110"/>
    </row>
    <row r="15" spans="3:40" ht="15" thickBot="1" x14ac:dyDescent="0.35">
      <c r="C15" s="170">
        <f t="shared" si="1"/>
        <v>43914</v>
      </c>
      <c r="E15" s="28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2"/>
      <c r="R15" s="6"/>
      <c r="S15" s="6"/>
      <c r="T15" s="6"/>
      <c r="U15" s="285"/>
      <c r="W15">
        <f t="shared" si="0"/>
        <v>5</v>
      </c>
      <c r="Z15" s="1"/>
      <c r="AA15" s="1"/>
      <c r="AB15" s="1"/>
      <c r="AC15" s="189"/>
      <c r="AD15" s="168"/>
      <c r="AE15" s="168"/>
      <c r="AF15" s="209" t="s">
        <v>20</v>
      </c>
      <c r="AG15" s="210"/>
      <c r="AH15" s="622"/>
      <c r="AI15" s="211"/>
      <c r="AJ15" s="212" t="s">
        <v>4</v>
      </c>
      <c r="AK15" s="213"/>
      <c r="AL15" s="110"/>
      <c r="AM15" s="110"/>
      <c r="AN15" s="110"/>
    </row>
    <row r="16" spans="3:40" x14ac:dyDescent="0.3">
      <c r="C16" s="170">
        <f t="shared" si="1"/>
        <v>43915</v>
      </c>
      <c r="E16" s="28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2"/>
      <c r="R16" s="6"/>
      <c r="S16" s="6"/>
      <c r="T16" s="6"/>
      <c r="U16" s="285"/>
      <c r="W16">
        <f t="shared" si="0"/>
        <v>6</v>
      </c>
      <c r="Z16" s="1"/>
      <c r="AA16" s="1"/>
      <c r="AB16" s="1"/>
      <c r="AC16" s="189"/>
      <c r="AD16" s="201" t="s">
        <v>39</v>
      </c>
      <c r="AE16" s="168"/>
      <c r="AF16" s="201">
        <f>+K196</f>
        <v>695326</v>
      </c>
      <c r="AG16" s="200"/>
      <c r="AH16" s="214">
        <f>+AJ31</f>
        <v>2144.8857406919692</v>
      </c>
      <c r="AI16" s="214"/>
      <c r="AJ16" s="215">
        <f>+S196</f>
        <v>53530</v>
      </c>
      <c r="AK16" s="216"/>
      <c r="AL16" s="110"/>
      <c r="AM16" s="110"/>
      <c r="AN16" s="110"/>
    </row>
    <row r="17" spans="3:41" x14ac:dyDescent="0.3">
      <c r="C17" s="170">
        <f t="shared" si="1"/>
        <v>43916</v>
      </c>
      <c r="E17" s="28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2"/>
      <c r="R17" s="6"/>
      <c r="S17" s="6"/>
      <c r="T17" s="6"/>
      <c r="U17" s="285"/>
      <c r="W17">
        <f t="shared" si="0"/>
        <v>7</v>
      </c>
      <c r="Z17" s="61"/>
      <c r="AA17" s="61"/>
      <c r="AB17" s="10"/>
      <c r="AC17" s="189"/>
      <c r="AD17" s="217" t="s">
        <v>58</v>
      </c>
      <c r="AE17" s="168"/>
      <c r="AF17" s="161">
        <v>124826</v>
      </c>
      <c r="AG17" s="201"/>
      <c r="AH17" s="162">
        <v>1811</v>
      </c>
      <c r="AI17" s="214"/>
      <c r="AJ17" s="161">
        <v>9210</v>
      </c>
      <c r="AK17" s="218"/>
      <c r="AL17" s="110"/>
      <c r="AM17" s="90"/>
      <c r="AN17" s="90"/>
    </row>
    <row r="18" spans="3:41" x14ac:dyDescent="0.3">
      <c r="C18" s="170">
        <f t="shared" si="1"/>
        <v>43917</v>
      </c>
      <c r="E18" s="284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3"/>
      <c r="R18" s="44"/>
      <c r="S18" s="6"/>
      <c r="T18" s="6"/>
      <c r="U18" s="286"/>
      <c r="W18">
        <f t="shared" si="0"/>
        <v>8</v>
      </c>
      <c r="Z18" s="1"/>
      <c r="AA18" s="1"/>
      <c r="AB18" s="1"/>
      <c r="AC18" s="189"/>
      <c r="AD18" s="201" t="s">
        <v>90</v>
      </c>
      <c r="AE18" s="168"/>
      <c r="AF18" s="161">
        <v>148635</v>
      </c>
      <c r="AG18" s="201"/>
      <c r="AH18" s="162">
        <v>1161</v>
      </c>
      <c r="AI18" s="214"/>
      <c r="AJ18" s="161">
        <v>7829</v>
      </c>
      <c r="AK18" s="218"/>
      <c r="AL18" s="110"/>
      <c r="AM18" s="90"/>
      <c r="AN18" s="90"/>
    </row>
    <row r="19" spans="3:41" ht="15" thickBot="1" x14ac:dyDescent="0.35">
      <c r="C19" s="170">
        <f t="shared" si="1"/>
        <v>43918</v>
      </c>
      <c r="E19" s="284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5">
        <f>+K19-K18</f>
        <v>9747</v>
      </c>
      <c r="R19" s="44"/>
      <c r="S19" s="7">
        <f>728+140</f>
        <v>868</v>
      </c>
      <c r="T19" s="6"/>
      <c r="U19" s="286">
        <f>+S19/K19</f>
        <v>1.3681788089908893E-2</v>
      </c>
      <c r="W19">
        <f t="shared" si="0"/>
        <v>9</v>
      </c>
      <c r="Z19" s="1"/>
      <c r="AA19" s="1"/>
      <c r="AB19" s="10"/>
      <c r="AC19" s="189"/>
      <c r="AD19" s="168"/>
      <c r="AE19" s="168"/>
      <c r="AF19" s="219">
        <f>SUM(AF16:AF18)</f>
        <v>968787</v>
      </c>
      <c r="AG19" s="201"/>
      <c r="AH19" s="201"/>
      <c r="AI19" s="201"/>
      <c r="AJ19" s="219">
        <f>SUM(AJ16:AJ18)</f>
        <v>70569</v>
      </c>
      <c r="AK19" s="218"/>
      <c r="AL19" s="110"/>
      <c r="AM19" s="90"/>
      <c r="AN19" s="90"/>
    </row>
    <row r="20" spans="3:41" ht="15" thickTop="1" x14ac:dyDescent="0.3">
      <c r="C20" s="170">
        <f t="shared" si="1"/>
        <v>43919</v>
      </c>
      <c r="E20" s="284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5">
        <f t="shared" ref="Q20:Q61" si="4">+K20-K19</f>
        <v>9457</v>
      </c>
      <c r="R20" s="44"/>
      <c r="S20" s="7">
        <f>965+161</f>
        <v>1126</v>
      </c>
      <c r="T20" s="6"/>
      <c r="U20" s="286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89"/>
      <c r="AD20" s="168"/>
      <c r="AE20" s="168"/>
      <c r="AF20" s="201"/>
      <c r="AG20" s="201"/>
      <c r="AH20" s="201"/>
      <c r="AI20" s="201"/>
      <c r="AJ20" s="201"/>
      <c r="AK20" s="218"/>
      <c r="AL20" s="110"/>
      <c r="AM20" s="90"/>
      <c r="AN20" s="90"/>
    </row>
    <row r="21" spans="3:41" ht="15" thickBot="1" x14ac:dyDescent="0.35">
      <c r="C21" s="170">
        <f t="shared" si="1"/>
        <v>43920</v>
      </c>
      <c r="E21" s="284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5">
        <f t="shared" si="4"/>
        <v>10204</v>
      </c>
      <c r="R21" s="44"/>
      <c r="S21" s="7">
        <f>1218+198</f>
        <v>1416</v>
      </c>
      <c r="T21" s="6"/>
      <c r="U21" s="286">
        <f t="shared" si="5"/>
        <v>1.7039096061514023E-2</v>
      </c>
      <c r="W21">
        <f t="shared" si="0"/>
        <v>11</v>
      </c>
      <c r="Z21" s="1"/>
      <c r="AA21" s="1"/>
      <c r="AB21" s="1"/>
      <c r="AC21" s="189"/>
      <c r="AD21" s="220" t="s">
        <v>29</v>
      </c>
      <c r="AE21" s="168"/>
      <c r="AF21" s="221">
        <f>+AF19/'Main Table'!H190</f>
        <v>0.14446781357675673</v>
      </c>
      <c r="AG21" s="201"/>
      <c r="AH21" s="201"/>
      <c r="AI21" s="201"/>
      <c r="AJ21" s="221">
        <f>+AJ19/'Main Table'!AA190</f>
        <v>0.35547551883941164</v>
      </c>
      <c r="AK21" s="218"/>
      <c r="AL21" s="110"/>
      <c r="AM21" s="96"/>
      <c r="AN21" s="90"/>
    </row>
    <row r="22" spans="3:41" ht="15.6" thickTop="1" thickBot="1" x14ac:dyDescent="0.35">
      <c r="C22" s="170">
        <f t="shared" si="1"/>
        <v>43921</v>
      </c>
      <c r="E22" s="284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5">
        <f t="shared" si="4"/>
        <v>11388</v>
      </c>
      <c r="R22" s="6"/>
      <c r="S22" s="7">
        <f>1550+267</f>
        <v>1817</v>
      </c>
      <c r="T22" s="6"/>
      <c r="U22" s="286">
        <f t="shared" si="5"/>
        <v>1.9229344593665005E-2</v>
      </c>
      <c r="W22">
        <f t="shared" si="0"/>
        <v>12</v>
      </c>
      <c r="Z22" s="1"/>
      <c r="AA22" s="1"/>
      <c r="AB22" s="1"/>
      <c r="AC22" s="194"/>
      <c r="AD22" s="222"/>
      <c r="AE22" s="195"/>
      <c r="AF22" s="223"/>
      <c r="AG22" s="224"/>
      <c r="AH22" s="224"/>
      <c r="AI22" s="224"/>
      <c r="AJ22" s="223"/>
      <c r="AK22" s="225"/>
      <c r="AL22" s="110"/>
      <c r="AM22" s="90"/>
      <c r="AN22" s="90"/>
    </row>
    <row r="23" spans="3:41" x14ac:dyDescent="0.3">
      <c r="C23" s="170">
        <f t="shared" si="1"/>
        <v>43922</v>
      </c>
      <c r="E23" s="284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5">
        <f t="shared" si="4"/>
        <v>11476</v>
      </c>
      <c r="R23" s="6"/>
      <c r="S23" s="7">
        <f>1941+355</f>
        <v>2296</v>
      </c>
      <c r="T23" s="6"/>
      <c r="U23" s="286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0">
        <f t="shared" si="1"/>
        <v>43923</v>
      </c>
      <c r="E24" s="284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5">
        <f t="shared" si="4"/>
        <v>12129</v>
      </c>
      <c r="R24" s="6"/>
      <c r="S24" s="7">
        <f>2373+537</f>
        <v>2910</v>
      </c>
      <c r="T24" s="6"/>
      <c r="U24" s="286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0">
        <f t="shared" si="1"/>
        <v>43924</v>
      </c>
      <c r="E25" s="284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5">
        <f t="shared" si="4"/>
        <v>14859</v>
      </c>
      <c r="R25" s="6"/>
      <c r="S25" s="7">
        <f>2935+646</f>
        <v>3581</v>
      </c>
      <c r="T25" s="6"/>
      <c r="U25" s="286">
        <f t="shared" si="5"/>
        <v>2.6933925012222179E-2</v>
      </c>
      <c r="W25">
        <f t="shared" si="0"/>
        <v>15</v>
      </c>
      <c r="Z25" s="1"/>
      <c r="AA25" s="623" t="s">
        <v>133</v>
      </c>
      <c r="AB25" s="624"/>
      <c r="AC25" s="624"/>
      <c r="AD25" s="624"/>
      <c r="AE25" s="624"/>
      <c r="AF25" s="624"/>
      <c r="AG25" s="624"/>
      <c r="AH25" s="624"/>
      <c r="AI25" s="624"/>
      <c r="AJ25" s="624"/>
      <c r="AK25" s="625"/>
      <c r="AL25" s="154"/>
      <c r="AM25" s="154"/>
      <c r="AN25" s="90"/>
      <c r="AO25" s="118"/>
    </row>
    <row r="26" spans="3:41" x14ac:dyDescent="0.3">
      <c r="C26" s="170">
        <f t="shared" si="1"/>
        <v>43925</v>
      </c>
      <c r="E26" s="284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5">
        <f t="shared" si="4"/>
        <v>15002</v>
      </c>
      <c r="R26" s="6"/>
      <c r="S26" s="7">
        <f>3565+846</f>
        <v>4411</v>
      </c>
      <c r="T26" s="6"/>
      <c r="U26" s="286">
        <f t="shared" si="5"/>
        <v>2.9812715856634021E-2</v>
      </c>
      <c r="W26">
        <f t="shared" si="0"/>
        <v>16</v>
      </c>
      <c r="Z26" s="1"/>
      <c r="AA26" s="185"/>
      <c r="AB26" s="186" t="s">
        <v>53</v>
      </c>
      <c r="AC26" s="187"/>
      <c r="AD26" s="186" t="s">
        <v>20</v>
      </c>
      <c r="AE26" s="187"/>
      <c r="AF26" s="186" t="s">
        <v>54</v>
      </c>
      <c r="AG26" s="187"/>
      <c r="AH26" s="186" t="s">
        <v>56</v>
      </c>
      <c r="AI26" s="187"/>
      <c r="AJ26" s="186" t="s">
        <v>55</v>
      </c>
      <c r="AK26" s="188"/>
      <c r="AL26" s="118"/>
      <c r="AM26" s="118"/>
      <c r="AN26" s="96"/>
      <c r="AO26" s="118"/>
    </row>
    <row r="27" spans="3:41" x14ac:dyDescent="0.3">
      <c r="C27" s="170">
        <f t="shared" si="1"/>
        <v>43926</v>
      </c>
      <c r="E27" s="284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5">
        <f t="shared" si="4"/>
        <v>12708</v>
      </c>
      <c r="R27" s="6"/>
      <c r="S27" s="7">
        <f>4150+914</f>
        <v>5064</v>
      </c>
      <c r="T27" s="6"/>
      <c r="U27" s="286">
        <f t="shared" si="5"/>
        <v>3.1518999159742322E-2</v>
      </c>
      <c r="W27">
        <f t="shared" si="0"/>
        <v>17</v>
      </c>
      <c r="Z27" s="1"/>
      <c r="AA27" s="189"/>
      <c r="AB27" s="168" t="s">
        <v>50</v>
      </c>
      <c r="AC27" s="168"/>
      <c r="AD27" s="168">
        <f>+E196</f>
        <v>444366</v>
      </c>
      <c r="AE27" s="168"/>
      <c r="AF27" s="199">
        <v>2284</v>
      </c>
      <c r="AG27" s="168"/>
      <c r="AH27" s="190">
        <f>+AD27/AD$31</f>
        <v>0.54180932314985519</v>
      </c>
      <c r="AI27" s="190"/>
      <c r="AJ27" s="168">
        <f>+AF27*AH27</f>
        <v>1237.4924940742692</v>
      </c>
      <c r="AK27" s="191"/>
      <c r="AL27" s="118"/>
      <c r="AM27" s="90"/>
      <c r="AN27" s="90"/>
      <c r="AO27" s="118"/>
    </row>
    <row r="28" spans="3:41" x14ac:dyDescent="0.3">
      <c r="C28" s="170">
        <f t="shared" si="1"/>
        <v>43927</v>
      </c>
      <c r="E28" s="284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5">
        <f t="shared" si="4"/>
        <v>11985</v>
      </c>
      <c r="R28" s="6"/>
      <c r="S28" s="7">
        <f>4758+1003</f>
        <v>5761</v>
      </c>
      <c r="T28" s="6"/>
      <c r="U28" s="286">
        <f t="shared" si="5"/>
        <v>3.3368085722560094E-2</v>
      </c>
      <c r="W28">
        <f t="shared" si="0"/>
        <v>18</v>
      </c>
      <c r="Z28" s="1"/>
      <c r="AA28" s="189"/>
      <c r="AB28" s="168" t="s">
        <v>51</v>
      </c>
      <c r="AC28" s="168"/>
      <c r="AD28" s="168">
        <f>+G196</f>
        <v>196634</v>
      </c>
      <c r="AE28" s="168"/>
      <c r="AF28" s="199">
        <v>2214</v>
      </c>
      <c r="AG28" s="168"/>
      <c r="AH28" s="190">
        <f>+AD28/AD$31</f>
        <v>0.23975311893405124</v>
      </c>
      <c r="AI28" s="190"/>
      <c r="AJ28" s="168">
        <f>+AF28*AH28</f>
        <v>530.81340531998944</v>
      </c>
      <c r="AK28" s="191"/>
      <c r="AL28" s="118"/>
      <c r="AM28" s="90"/>
      <c r="AN28" s="90"/>
      <c r="AO28" s="118"/>
    </row>
    <row r="29" spans="3:41" x14ac:dyDescent="0.3">
      <c r="C29" s="170">
        <f t="shared" si="1"/>
        <v>43928</v>
      </c>
      <c r="E29" s="284">
        <v>139876</v>
      </c>
      <c r="F29" s="7"/>
      <c r="G29" s="7">
        <f>44416</f>
        <v>44416</v>
      </c>
      <c r="H29" s="7"/>
      <c r="I29" s="7"/>
      <c r="J29" s="287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5">
        <f t="shared" si="4"/>
        <v>11642</v>
      </c>
      <c r="R29" s="6"/>
      <c r="S29" s="7">
        <f>5489+1232+277</f>
        <v>6998</v>
      </c>
      <c r="T29" s="6"/>
      <c r="U29" s="286">
        <f t="shared" si="5"/>
        <v>3.7972348229982855E-2</v>
      </c>
      <c r="W29">
        <f t="shared" si="0"/>
        <v>19</v>
      </c>
      <c r="Z29" s="1"/>
      <c r="AA29" s="189"/>
      <c r="AB29" s="168" t="s">
        <v>52</v>
      </c>
      <c r="AC29" s="168"/>
      <c r="AD29" s="168">
        <f>+I196</f>
        <v>54326</v>
      </c>
      <c r="AE29" s="168"/>
      <c r="AF29" s="199">
        <v>1524</v>
      </c>
      <c r="AG29" s="168"/>
      <c r="AH29" s="190">
        <f>+AD29/AD$31</f>
        <v>6.6238941074337435E-2</v>
      </c>
      <c r="AI29" s="190"/>
      <c r="AJ29" s="168">
        <f>+AF29*AH29</f>
        <v>100.94814619729026</v>
      </c>
      <c r="AK29" s="191"/>
      <c r="AL29" s="118"/>
      <c r="AM29" s="90"/>
      <c r="AN29" s="90"/>
      <c r="AO29" s="118"/>
    </row>
    <row r="30" spans="3:41" x14ac:dyDescent="0.3">
      <c r="C30" s="170">
        <f t="shared" si="1"/>
        <v>43929</v>
      </c>
      <c r="E30" s="284">
        <v>151069</v>
      </c>
      <c r="F30" s="7"/>
      <c r="G30" s="7">
        <f>47437</f>
        <v>47437</v>
      </c>
      <c r="H30" s="7"/>
      <c r="I30" s="7">
        <v>8781</v>
      </c>
      <c r="J30" s="287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5">
        <f t="shared" si="4"/>
        <v>22995</v>
      </c>
      <c r="R30" s="6"/>
      <c r="S30" s="7">
        <f>6268+1504+335</f>
        <v>8107</v>
      </c>
      <c r="T30" s="6"/>
      <c r="U30" s="286">
        <f t="shared" si="5"/>
        <v>3.9110026195564605E-2</v>
      </c>
      <c r="W30">
        <f t="shared" si="0"/>
        <v>20</v>
      </c>
      <c r="Z30" s="1"/>
      <c r="AA30" s="185"/>
      <c r="AB30" s="168" t="s">
        <v>105</v>
      </c>
      <c r="AC30" s="280"/>
      <c r="AD30" s="168">
        <f>+AF17</f>
        <v>124826</v>
      </c>
      <c r="AE30" s="280"/>
      <c r="AF30" s="168">
        <f>+AH17</f>
        <v>1811</v>
      </c>
      <c r="AG30" s="280"/>
      <c r="AH30" s="190">
        <f>+AD30/AD$31</f>
        <v>0.15219861684175617</v>
      </c>
      <c r="AI30" s="280"/>
      <c r="AJ30" s="168">
        <f>+AF30*AH30</f>
        <v>275.63169510042042</v>
      </c>
      <c r="AK30" s="191"/>
      <c r="AL30" s="118"/>
      <c r="AM30" s="90"/>
      <c r="AN30" s="90"/>
      <c r="AO30" s="118"/>
    </row>
    <row r="31" spans="3:41" ht="15" thickBot="1" x14ac:dyDescent="0.35">
      <c r="C31" s="170">
        <f t="shared" si="1"/>
        <v>43930</v>
      </c>
      <c r="E31" s="284">
        <v>161790</v>
      </c>
      <c r="F31" s="7"/>
      <c r="G31" s="7">
        <f>51027</f>
        <v>51027</v>
      </c>
      <c r="H31" s="7"/>
      <c r="I31" s="7">
        <v>9784</v>
      </c>
      <c r="J31" s="287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5">
        <f t="shared" si="4"/>
        <v>15314</v>
      </c>
      <c r="R31" s="6"/>
      <c r="S31" s="7">
        <f>7067+1209+380</f>
        <v>8656</v>
      </c>
      <c r="T31" s="6"/>
      <c r="U31" s="286">
        <f t="shared" si="5"/>
        <v>3.8885719291467696E-2</v>
      </c>
      <c r="W31">
        <f t="shared" si="0"/>
        <v>21</v>
      </c>
      <c r="Z31" s="1"/>
      <c r="AA31" s="189"/>
      <c r="AB31" s="168"/>
      <c r="AC31" s="168"/>
      <c r="AD31" s="192">
        <f>SUM(AD27:AD30)</f>
        <v>820152</v>
      </c>
      <c r="AE31" s="168"/>
      <c r="AF31" s="168"/>
      <c r="AG31" s="168"/>
      <c r="AH31" s="193">
        <f>SUM(AH27:AH30)</f>
        <v>1</v>
      </c>
      <c r="AI31" s="190"/>
      <c r="AJ31" s="192">
        <f>SUM(AJ27:AJ30)</f>
        <v>2144.8857406919692</v>
      </c>
      <c r="AK31" s="191"/>
      <c r="AL31" s="118"/>
      <c r="AM31" s="90"/>
      <c r="AN31" s="90"/>
      <c r="AO31" s="118"/>
    </row>
    <row r="32" spans="3:41" ht="15.6" thickTop="1" thickBot="1" x14ac:dyDescent="0.35">
      <c r="C32" s="170">
        <f t="shared" si="1"/>
        <v>43931</v>
      </c>
      <c r="E32" s="284">
        <v>174481</v>
      </c>
      <c r="F32" s="7"/>
      <c r="G32" s="7">
        <f>54588</f>
        <v>54588</v>
      </c>
      <c r="H32" s="7"/>
      <c r="I32" s="7">
        <v>10538</v>
      </c>
      <c r="J32" s="287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5">
        <f t="shared" si="4"/>
        <v>17006</v>
      </c>
      <c r="R32" s="6"/>
      <c r="S32" s="7">
        <f>7884+1932+448</f>
        <v>10264</v>
      </c>
      <c r="T32" s="6"/>
      <c r="U32" s="286">
        <f t="shared" si="5"/>
        <v>4.2836811946228619E-2</v>
      </c>
      <c r="W32">
        <f t="shared" si="0"/>
        <v>22</v>
      </c>
      <c r="Z32" s="1"/>
      <c r="AA32" s="194"/>
      <c r="AB32" s="195"/>
      <c r="AC32" s="195"/>
      <c r="AD32" s="195"/>
      <c r="AE32" s="195"/>
      <c r="AF32" s="195"/>
      <c r="AG32" s="195"/>
      <c r="AH32" s="196"/>
      <c r="AI32" s="196"/>
      <c r="AJ32" s="197"/>
      <c r="AK32" s="198"/>
      <c r="AL32" s="118"/>
      <c r="AM32" s="90"/>
      <c r="AN32" s="90"/>
      <c r="AO32" s="118"/>
    </row>
    <row r="33" spans="3:40" x14ac:dyDescent="0.3">
      <c r="C33" s="170">
        <f t="shared" si="1"/>
        <v>43932</v>
      </c>
      <c r="E33" s="284">
        <v>181825</v>
      </c>
      <c r="F33" s="7"/>
      <c r="G33" s="7">
        <f>58151</f>
        <v>58151</v>
      </c>
      <c r="H33" s="7"/>
      <c r="I33" s="7">
        <v>11510</v>
      </c>
      <c r="J33" s="287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5">
        <f t="shared" si="4"/>
        <v>11879</v>
      </c>
      <c r="R33" s="6"/>
      <c r="S33" s="7">
        <f>8650+2183+494</f>
        <v>11327</v>
      </c>
      <c r="T33" s="6"/>
      <c r="U33" s="286">
        <f t="shared" si="5"/>
        <v>4.5040280572278379E-2</v>
      </c>
      <c r="W33">
        <f t="shared" si="0"/>
        <v>23</v>
      </c>
    </row>
    <row r="34" spans="3:40" x14ac:dyDescent="0.3">
      <c r="C34" s="170">
        <f t="shared" si="1"/>
        <v>43933</v>
      </c>
      <c r="E34" s="284">
        <v>189033</v>
      </c>
      <c r="F34" s="7"/>
      <c r="G34" s="7">
        <f>61850</f>
        <v>61850</v>
      </c>
      <c r="H34" s="7"/>
      <c r="I34" s="7">
        <v>12035</v>
      </c>
      <c r="J34" s="287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5">
        <f t="shared" si="4"/>
        <v>11432</v>
      </c>
      <c r="R34" s="6"/>
      <c r="S34" s="7">
        <f>9385+2350+554</f>
        <v>12289</v>
      </c>
      <c r="T34" s="6"/>
      <c r="U34" s="286">
        <f t="shared" si="5"/>
        <v>4.674080892141276E-2</v>
      </c>
      <c r="W34">
        <f t="shared" si="0"/>
        <v>24</v>
      </c>
    </row>
    <row r="35" spans="3:40" ht="15" thickBot="1" x14ac:dyDescent="0.35">
      <c r="C35" s="170">
        <f t="shared" si="1"/>
        <v>43934</v>
      </c>
      <c r="E35" s="284">
        <v>195749</v>
      </c>
      <c r="F35" s="7"/>
      <c r="G35" s="7">
        <f>64584</f>
        <v>64584</v>
      </c>
      <c r="H35" s="7"/>
      <c r="I35" s="7">
        <v>13381</v>
      </c>
      <c r="J35" s="287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5">
        <f t="shared" si="4"/>
        <v>10796</v>
      </c>
      <c r="R35" s="6"/>
      <c r="S35" s="7">
        <f>10058+2443+602</f>
        <v>13103</v>
      </c>
      <c r="T35" s="6"/>
      <c r="U35" s="286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0">
        <f t="shared" si="1"/>
        <v>43935</v>
      </c>
      <c r="E36" s="284">
        <v>203020</v>
      </c>
      <c r="F36" s="7"/>
      <c r="G36" s="7">
        <f>68824</f>
        <v>68824</v>
      </c>
      <c r="H36" s="7"/>
      <c r="I36" s="7">
        <v>13989</v>
      </c>
      <c r="J36" s="287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5">
        <f t="shared" si="4"/>
        <v>12119</v>
      </c>
      <c r="R36" s="6"/>
      <c r="S36" s="7">
        <f>10842+2805+671+3778</f>
        <v>18096</v>
      </c>
      <c r="T36" s="6"/>
      <c r="U36" s="286">
        <f t="shared" si="5"/>
        <v>6.3309694821801543E-2</v>
      </c>
      <c r="W36">
        <f t="shared" si="0"/>
        <v>26</v>
      </c>
      <c r="Z36" s="1"/>
      <c r="AA36" s="618" t="s">
        <v>31</v>
      </c>
      <c r="AB36" s="619"/>
      <c r="AC36" s="619"/>
      <c r="AD36" s="619"/>
      <c r="AE36" s="619"/>
      <c r="AF36" s="619"/>
      <c r="AG36" s="619"/>
      <c r="AH36" s="619"/>
      <c r="AI36" s="620"/>
      <c r="AJ36" s="154"/>
      <c r="AK36" s="154"/>
      <c r="AL36" s="154"/>
      <c r="AM36" s="95"/>
      <c r="AN36" s="95"/>
    </row>
    <row r="37" spans="3:40" x14ac:dyDescent="0.3">
      <c r="C37" s="170">
        <f t="shared" si="1"/>
        <v>43936</v>
      </c>
      <c r="E37" s="284">
        <v>214639</v>
      </c>
      <c r="F37" s="7"/>
      <c r="G37" s="7">
        <f>71030</f>
        <v>71030</v>
      </c>
      <c r="H37" s="7"/>
      <c r="I37" s="7">
        <v>14755</v>
      </c>
      <c r="J37" s="287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5">
        <f t="shared" si="4"/>
        <v>14591</v>
      </c>
      <c r="R37" s="6"/>
      <c r="S37" s="7">
        <f>11620+3156+868-145</f>
        <v>15499</v>
      </c>
      <c r="T37" s="6"/>
      <c r="U37" s="286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6" t="s">
        <v>30</v>
      </c>
      <c r="AG37" s="164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0">
        <f t="shared" si="1"/>
        <v>43937</v>
      </c>
      <c r="E38" s="284">
        <v>223691</v>
      </c>
      <c r="F38" s="7"/>
      <c r="G38" s="7">
        <f>75317</f>
        <v>75317</v>
      </c>
      <c r="H38" s="7"/>
      <c r="I38" s="7">
        <v>15884</v>
      </c>
      <c r="J38" s="287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5">
        <f t="shared" si="4"/>
        <v>14468</v>
      </c>
      <c r="R38" s="6"/>
      <c r="S38" s="7">
        <f>14832+3518+446</f>
        <v>18796</v>
      </c>
      <c r="T38" s="6"/>
      <c r="U38" s="286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5">
        <v>20100000</v>
      </c>
      <c r="AG38" s="164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0">
        <f t="shared" si="1"/>
        <v>43938</v>
      </c>
      <c r="E39" s="284">
        <v>230597</v>
      </c>
      <c r="F39" s="7"/>
      <c r="G39" s="7">
        <f>78467</f>
        <v>78467</v>
      </c>
      <c r="H39" s="7"/>
      <c r="I39" s="7">
        <v>16809</v>
      </c>
      <c r="J39" s="287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5">
        <f t="shared" si="4"/>
        <v>10981</v>
      </c>
      <c r="R39" s="6"/>
      <c r="S39" s="7">
        <f>17131+3840+1036</f>
        <v>22007</v>
      </c>
      <c r="T39" s="6"/>
      <c r="U39" s="286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4">
        <v>4900000</v>
      </c>
      <c r="AG39" s="164"/>
      <c r="AH39" s="100">
        <f>+AF39/AF$43</f>
        <v>1.4848484848484849E-2</v>
      </c>
      <c r="AI39" s="177"/>
      <c r="AJ39" s="175"/>
      <c r="AK39" s="175"/>
      <c r="AL39" s="110"/>
      <c r="AM39" s="108"/>
      <c r="AN39" s="108"/>
    </row>
    <row r="40" spans="3:40" x14ac:dyDescent="0.3">
      <c r="C40" s="332">
        <f t="shared" si="1"/>
        <v>43939</v>
      </c>
      <c r="D40" s="110"/>
      <c r="E40" s="284">
        <v>238767</v>
      </c>
      <c r="F40" s="7"/>
      <c r="G40" s="7">
        <f>81420</f>
        <v>81420</v>
      </c>
      <c r="H40" s="7"/>
      <c r="I40" s="7">
        <v>17550</v>
      </c>
      <c r="J40" s="287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5">
        <f t="shared" si="4"/>
        <v>11864</v>
      </c>
      <c r="R40" s="6"/>
      <c r="S40" s="7">
        <f>17671+4070+1086</f>
        <v>22827</v>
      </c>
      <c r="T40" s="6"/>
      <c r="U40" s="286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4">
        <v>6000000</v>
      </c>
      <c r="AG40" s="164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0">
        <f t="shared" si="1"/>
        <v>43940</v>
      </c>
      <c r="E41" s="284">
        <v>242570</v>
      </c>
      <c r="F41" s="7"/>
      <c r="G41" s="7">
        <f>85301</f>
        <v>85301</v>
      </c>
      <c r="H41" s="7"/>
      <c r="I41" s="7">
        <v>17550</v>
      </c>
      <c r="J41" s="287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5">
        <f t="shared" si="4"/>
        <v>7684</v>
      </c>
      <c r="R41" s="6"/>
      <c r="S41" s="7">
        <f>17428+4362+1086</f>
        <v>22876</v>
      </c>
      <c r="T41" s="6"/>
      <c r="U41" s="286">
        <f t="shared" si="5"/>
        <v>6.6226430935003952E-2</v>
      </c>
      <c r="W41">
        <f t="shared" si="0"/>
        <v>31</v>
      </c>
      <c r="Z41" s="75"/>
      <c r="AA41" s="91"/>
      <c r="AB41" s="164" t="s">
        <v>33</v>
      </c>
      <c r="AC41" s="164"/>
      <c r="AD41" s="164"/>
      <c r="AE41" s="164"/>
      <c r="AF41" s="163">
        <f>SUM(AF38:AG40)</f>
        <v>31000000</v>
      </c>
      <c r="AG41" s="164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0">
        <f t="shared" si="1"/>
        <v>43941</v>
      </c>
      <c r="E42" s="284">
        <v>253060</v>
      </c>
      <c r="F42" s="7"/>
      <c r="G42" s="7">
        <f>88722</f>
        <v>88722</v>
      </c>
      <c r="H42" s="7"/>
      <c r="I42" s="7">
        <v>19815</v>
      </c>
      <c r="J42" s="287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5">
        <f t="shared" si="4"/>
        <v>16176</v>
      </c>
      <c r="R42" s="6"/>
      <c r="S42" s="7">
        <f>18611+4496+1331</f>
        <v>24438</v>
      </c>
      <c r="T42" s="6"/>
      <c r="U42" s="286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1">
        <f t="shared" si="1"/>
        <v>43942</v>
      </c>
      <c r="E43" s="284">
        <v>258361</v>
      </c>
      <c r="F43" s="7"/>
      <c r="G43" s="7">
        <f>92387</f>
        <v>92387</v>
      </c>
      <c r="H43" s="7"/>
      <c r="I43" s="7">
        <v>20360</v>
      </c>
      <c r="J43" s="287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5">
        <f t="shared" si="4"/>
        <v>9511</v>
      </c>
      <c r="R43" s="6"/>
      <c r="S43" s="7">
        <f>18821+4520+1423</f>
        <v>24764</v>
      </c>
      <c r="T43" s="6"/>
      <c r="U43" s="286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3">
        <v>330000000</v>
      </c>
      <c r="AG43" s="164"/>
      <c r="AH43" s="173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1">
        <f t="shared" si="1"/>
        <v>43943</v>
      </c>
      <c r="E44" s="284">
        <v>263292</v>
      </c>
      <c r="F44" s="7"/>
      <c r="G44" s="7">
        <f>95418</f>
        <v>95418</v>
      </c>
      <c r="H44" s="7"/>
      <c r="I44" s="7">
        <v>22469</v>
      </c>
      <c r="J44" s="287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5">
        <f t="shared" si="4"/>
        <v>10071</v>
      </c>
      <c r="R44" s="6"/>
      <c r="S44" s="7">
        <f>19413+5129+1544</f>
        <v>26086</v>
      </c>
      <c r="T44" s="6"/>
      <c r="U44" s="286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8"/>
      <c r="AI44" s="112"/>
      <c r="AJ44" s="109"/>
      <c r="AK44" s="109"/>
      <c r="AL44" s="109"/>
      <c r="AM44" s="109"/>
      <c r="AN44" s="109"/>
    </row>
    <row r="45" spans="3:40" x14ac:dyDescent="0.3">
      <c r="C45" s="171">
        <f t="shared" si="1"/>
        <v>43944</v>
      </c>
      <c r="E45" s="284">
        <v>271145</v>
      </c>
      <c r="F45" s="7"/>
      <c r="G45" s="7">
        <f>99989</f>
        <v>99989</v>
      </c>
      <c r="H45" s="7"/>
      <c r="I45" s="7">
        <v>23128</v>
      </c>
      <c r="J45" s="287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5">
        <f t="shared" si="4"/>
        <v>13083</v>
      </c>
      <c r="R45" s="6"/>
      <c r="S45" s="7">
        <f>20971+5426+1637</f>
        <v>28034</v>
      </c>
      <c r="T45" s="6"/>
      <c r="U45" s="286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1">
        <f t="shared" si="1"/>
        <v>43945</v>
      </c>
      <c r="E46" s="284">
        <v>271590</v>
      </c>
      <c r="F46" s="7"/>
      <c r="G46" s="7">
        <f>100025</f>
        <v>100025</v>
      </c>
      <c r="H46" s="7"/>
      <c r="I46" s="7">
        <v>23936</v>
      </c>
      <c r="J46" s="287"/>
      <c r="K46" s="7">
        <f t="shared" si="6"/>
        <v>395551</v>
      </c>
      <c r="L46" s="6"/>
      <c r="M46" s="474">
        <f t="shared" si="7"/>
        <v>3.2693995363489254E-3</v>
      </c>
      <c r="N46" s="29"/>
      <c r="O46" s="29"/>
      <c r="P46" s="29"/>
      <c r="Q46" s="375">
        <f t="shared" si="4"/>
        <v>1289</v>
      </c>
      <c r="R46" s="6"/>
      <c r="S46" s="7">
        <f>21349+5426+1767</f>
        <v>28542</v>
      </c>
      <c r="T46" s="6"/>
      <c r="U46" s="286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1">
        <f t="shared" si="1"/>
        <v>43946</v>
      </c>
      <c r="E47" s="284">
        <v>282143</v>
      </c>
      <c r="F47" s="7"/>
      <c r="G47" s="7">
        <f>105498</f>
        <v>105498</v>
      </c>
      <c r="H47" s="7"/>
      <c r="I47" s="7">
        <v>24583</v>
      </c>
      <c r="J47" s="287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5">
        <f t="shared" si="4"/>
        <v>16673</v>
      </c>
      <c r="R47" s="6"/>
      <c r="S47" s="7">
        <f>22009+5914+1865</f>
        <v>29788</v>
      </c>
      <c r="T47" s="6"/>
      <c r="U47" s="286">
        <f t="shared" si="5"/>
        <v>7.2261682968483149E-2</v>
      </c>
      <c r="W47">
        <f t="shared" si="0"/>
        <v>37</v>
      </c>
    </row>
    <row r="48" spans="3:40" x14ac:dyDescent="0.3">
      <c r="C48" s="171">
        <f t="shared" si="1"/>
        <v>43947</v>
      </c>
      <c r="E48" s="284">
        <v>288045</v>
      </c>
      <c r="F48" s="7"/>
      <c r="G48" s="7">
        <f>109038</f>
        <v>109038</v>
      </c>
      <c r="H48" s="7"/>
      <c r="I48" s="7">
        <v>25269</v>
      </c>
      <c r="J48" s="287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5">
        <f t="shared" si="4"/>
        <v>10128</v>
      </c>
      <c r="R48" s="6"/>
      <c r="S48" s="7">
        <f>22269+5938+1924</f>
        <v>30131</v>
      </c>
      <c r="T48" s="6"/>
      <c r="U48" s="286">
        <f t="shared" si="5"/>
        <v>7.134096677652764E-2</v>
      </c>
      <c r="W48">
        <f t="shared" si="0"/>
        <v>38</v>
      </c>
      <c r="AF48" s="56"/>
    </row>
    <row r="49" spans="3:36" x14ac:dyDescent="0.3">
      <c r="C49" s="171">
        <f t="shared" si="1"/>
        <v>43948</v>
      </c>
      <c r="E49" s="284">
        <v>291996</v>
      </c>
      <c r="F49" s="7"/>
      <c r="G49" s="7">
        <f>111188</f>
        <v>111188</v>
      </c>
      <c r="H49" s="7"/>
      <c r="I49" s="7">
        <v>25269</v>
      </c>
      <c r="J49" s="287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5">
        <f t="shared" si="4"/>
        <v>6101</v>
      </c>
      <c r="R49" s="6"/>
      <c r="S49" s="7">
        <f>22668+6044+1924</f>
        <v>30636</v>
      </c>
      <c r="T49" s="6"/>
      <c r="U49" s="286">
        <f t="shared" si="5"/>
        <v>7.1503758872034973E-2</v>
      </c>
      <c r="W49">
        <f t="shared" si="0"/>
        <v>39</v>
      </c>
      <c r="AD49" s="1">
        <f>+'Main Table'!AA190</f>
        <v>198520</v>
      </c>
      <c r="AJ49" s="56">
        <f>+AJ19</f>
        <v>70569</v>
      </c>
    </row>
    <row r="50" spans="3:36" x14ac:dyDescent="0.3">
      <c r="C50" s="171">
        <f t="shared" si="1"/>
        <v>43949</v>
      </c>
      <c r="E50" s="284">
        <v>295106</v>
      </c>
      <c r="F50" s="7"/>
      <c r="G50" s="7">
        <f>113856</f>
        <v>113856</v>
      </c>
      <c r="H50" s="7"/>
      <c r="I50" s="7">
        <v>26312</v>
      </c>
      <c r="J50" s="287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5">
        <f t="shared" si="4"/>
        <v>6821</v>
      </c>
      <c r="R50" s="6"/>
      <c r="S50" s="7">
        <f>22912+6442+2087</f>
        <v>31441</v>
      </c>
      <c r="T50" s="6"/>
      <c r="U50" s="286">
        <f t="shared" si="5"/>
        <v>7.223266264467898E-2</v>
      </c>
      <c r="W50">
        <f t="shared" si="0"/>
        <v>40</v>
      </c>
      <c r="AD50" s="56">
        <f>+AJ19</f>
        <v>70569</v>
      </c>
      <c r="AF50" s="273"/>
    </row>
    <row r="51" spans="3:36" x14ac:dyDescent="0.3">
      <c r="C51" s="170">
        <f t="shared" si="1"/>
        <v>43950</v>
      </c>
      <c r="E51" s="284">
        <v>299691</v>
      </c>
      <c r="F51" s="7"/>
      <c r="G51" s="7">
        <f>116365</f>
        <v>116365</v>
      </c>
      <c r="H51" s="7"/>
      <c r="I51" s="7">
        <v>26751</v>
      </c>
      <c r="J51" s="287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5">
        <f t="shared" si="4"/>
        <v>7533</v>
      </c>
      <c r="R51" s="6"/>
      <c r="S51" s="7">
        <f>23477+6711+2169</f>
        <v>32357</v>
      </c>
      <c r="T51" s="6"/>
      <c r="U51" s="286">
        <f t="shared" si="5"/>
        <v>7.3072467237419461E-2</v>
      </c>
      <c r="W51">
        <f t="shared" si="0"/>
        <v>41</v>
      </c>
      <c r="AD51" s="56">
        <f>+AD49-AD50</f>
        <v>127951</v>
      </c>
    </row>
    <row r="52" spans="3:36" x14ac:dyDescent="0.3">
      <c r="C52" s="170">
        <f t="shared" si="1"/>
        <v>43951</v>
      </c>
      <c r="E52" s="284">
        <v>304372</v>
      </c>
      <c r="F52" s="7"/>
      <c r="G52" s="7">
        <v>118652</v>
      </c>
      <c r="H52" s="7"/>
      <c r="I52" s="7">
        <v>27700</v>
      </c>
      <c r="J52" s="287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5">
        <f t="shared" si="4"/>
        <v>7917</v>
      </c>
      <c r="R52" s="6"/>
      <c r="S52" s="7">
        <f>23545+7228+2257</f>
        <v>33030</v>
      </c>
      <c r="T52" s="6"/>
      <c r="U52" s="286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0">
        <f t="shared" si="1"/>
        <v>43952</v>
      </c>
      <c r="E53" s="284">
        <v>308314</v>
      </c>
      <c r="F53" s="7"/>
      <c r="G53" s="7">
        <v>121190</v>
      </c>
      <c r="H53" s="7"/>
      <c r="I53" s="7">
        <v>28855</v>
      </c>
      <c r="J53" s="287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5">
        <f t="shared" si="4"/>
        <v>7635</v>
      </c>
      <c r="R53" s="6"/>
      <c r="S53" s="7">
        <f>23981+7538+2341</f>
        <v>33860</v>
      </c>
      <c r="T53" s="6"/>
      <c r="U53" s="286">
        <f t="shared" ref="U53:U65" si="10">+S53/K53</f>
        <v>7.3872226791663304E-2</v>
      </c>
      <c r="W53">
        <f t="shared" si="0"/>
        <v>43</v>
      </c>
      <c r="AD53" s="1">
        <f>+AD51*AD52</f>
        <v>53739.42</v>
      </c>
    </row>
    <row r="54" spans="3:36" x14ac:dyDescent="0.3">
      <c r="C54" s="170">
        <f t="shared" si="1"/>
        <v>43953</v>
      </c>
      <c r="E54" s="284">
        <v>312977</v>
      </c>
      <c r="F54" s="7"/>
      <c r="G54" s="7">
        <v>123717</v>
      </c>
      <c r="H54" s="7"/>
      <c r="I54" s="7">
        <v>29346</v>
      </c>
      <c r="J54" s="287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5">
        <f t="shared" si="4"/>
        <v>7681</v>
      </c>
      <c r="R54" s="6"/>
      <c r="S54" s="7">
        <f>24198+7742+2437</f>
        <v>34377</v>
      </c>
      <c r="T54" s="6"/>
      <c r="U54" s="286">
        <f t="shared" si="10"/>
        <v>7.3764054587589042E-2</v>
      </c>
      <c r="W54">
        <f t="shared" si="0"/>
        <v>44</v>
      </c>
    </row>
    <row r="55" spans="3:36" x14ac:dyDescent="0.3">
      <c r="C55" s="170">
        <f t="shared" si="1"/>
        <v>43954</v>
      </c>
      <c r="E55" s="284">
        <v>316415</v>
      </c>
      <c r="F55" s="7"/>
      <c r="G55" s="7">
        <v>126744</v>
      </c>
      <c r="H55" s="7"/>
      <c r="I55" s="7">
        <v>29087</v>
      </c>
      <c r="J55" s="287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5">
        <f t="shared" si="4"/>
        <v>6206</v>
      </c>
      <c r="R55" s="6"/>
      <c r="S55" s="7">
        <f>24708+7871+2436</f>
        <v>35015</v>
      </c>
      <c r="T55" s="6"/>
      <c r="U55" s="286">
        <f t="shared" si="10"/>
        <v>7.4145678311727359E-2</v>
      </c>
      <c r="W55">
        <f t="shared" si="0"/>
        <v>45</v>
      </c>
      <c r="AD55" s="56">
        <f>+AD51-AD53</f>
        <v>74211.58</v>
      </c>
    </row>
    <row r="56" spans="3:36" x14ac:dyDescent="0.3">
      <c r="C56" s="171">
        <f t="shared" si="1"/>
        <v>43955</v>
      </c>
      <c r="E56" s="284">
        <v>318953</v>
      </c>
      <c r="F56" s="7"/>
      <c r="G56" s="7">
        <v>128269</v>
      </c>
      <c r="H56" s="7"/>
      <c r="I56" s="7">
        <v>29973</v>
      </c>
      <c r="J56" s="287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5">
        <f t="shared" si="4"/>
        <v>4949</v>
      </c>
      <c r="R56" s="6"/>
      <c r="S56" s="7">
        <f>24999+7910+2556</f>
        <v>35465</v>
      </c>
      <c r="T56" s="6"/>
      <c r="U56" s="286">
        <f t="shared" si="10"/>
        <v>7.4319722545290706E-2</v>
      </c>
      <c r="W56">
        <f t="shared" si="0"/>
        <v>46</v>
      </c>
    </row>
    <row r="57" spans="3:36" x14ac:dyDescent="0.3">
      <c r="C57" s="171">
        <f t="shared" si="1"/>
        <v>43956</v>
      </c>
      <c r="E57" s="284">
        <v>321192</v>
      </c>
      <c r="F57" s="7"/>
      <c r="G57" s="7">
        <v>130593</v>
      </c>
      <c r="H57" s="7"/>
      <c r="I57" s="7">
        <v>30621</v>
      </c>
      <c r="J57" s="287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5">
        <f t="shared" si="4"/>
        <v>5211</v>
      </c>
      <c r="R57" s="6"/>
      <c r="S57" s="7">
        <f>25124+8244+2633</f>
        <v>36001</v>
      </c>
      <c r="T57" s="6"/>
      <c r="U57" s="286">
        <f t="shared" si="10"/>
        <v>7.4628010431047706E-2</v>
      </c>
      <c r="W57">
        <f t="shared" si="0"/>
        <v>47</v>
      </c>
      <c r="AD57" s="273">
        <f>+AD55/AD49</f>
        <v>0.37382419907314124</v>
      </c>
    </row>
    <row r="58" spans="3:36" x14ac:dyDescent="0.3">
      <c r="C58" s="171">
        <f t="shared" si="1"/>
        <v>43957</v>
      </c>
      <c r="E58" s="284">
        <v>323978</v>
      </c>
      <c r="F58" s="7"/>
      <c r="G58" s="7">
        <v>131890</v>
      </c>
      <c r="H58" s="7"/>
      <c r="I58" s="7">
        <v>30995</v>
      </c>
      <c r="J58" s="287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5">
        <f t="shared" si="4"/>
        <v>4457</v>
      </c>
      <c r="R58" s="6"/>
      <c r="S58" s="7">
        <f>25346+8549+2718</f>
        <v>36613</v>
      </c>
      <c r="T58" s="6"/>
      <c r="U58" s="286">
        <f t="shared" si="10"/>
        <v>7.5201853498828214E-2</v>
      </c>
      <c r="W58">
        <f t="shared" si="0"/>
        <v>48</v>
      </c>
    </row>
    <row r="59" spans="3:36" x14ac:dyDescent="0.3">
      <c r="C59" s="171">
        <f t="shared" si="1"/>
        <v>43958</v>
      </c>
      <c r="E59" s="284">
        <v>327469</v>
      </c>
      <c r="F59" s="7"/>
      <c r="G59" s="7">
        <v>133991</v>
      </c>
      <c r="H59" s="7"/>
      <c r="I59" s="7">
        <v>31784</v>
      </c>
      <c r="J59" s="287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5">
        <f t="shared" si="4"/>
        <v>6381</v>
      </c>
      <c r="R59" s="6"/>
      <c r="S59" s="7">
        <f>26144+8807+2797</f>
        <v>37748</v>
      </c>
      <c r="T59" s="6"/>
      <c r="U59" s="286">
        <f t="shared" si="10"/>
        <v>7.6530074364817416E-2</v>
      </c>
      <c r="W59">
        <f t="shared" si="0"/>
        <v>49</v>
      </c>
    </row>
    <row r="60" spans="3:36" x14ac:dyDescent="0.3">
      <c r="C60" s="171">
        <f t="shared" si="1"/>
        <v>43959</v>
      </c>
      <c r="E60" s="284">
        <v>330407</v>
      </c>
      <c r="F60" s="7"/>
      <c r="G60" s="7">
        <v>135840</v>
      </c>
      <c r="H60" s="7"/>
      <c r="I60" s="7">
        <v>32411</v>
      </c>
      <c r="J60" s="287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5">
        <f t="shared" si="4"/>
        <v>5414</v>
      </c>
      <c r="R60" s="6"/>
      <c r="S60" s="7">
        <f>26243+8960+2874</f>
        <v>38077</v>
      </c>
      <c r="T60" s="6"/>
      <c r="U60" s="286">
        <f t="shared" si="10"/>
        <v>7.6358947414861489E-2</v>
      </c>
      <c r="W60">
        <f t="shared" si="0"/>
        <v>50</v>
      </c>
    </row>
    <row r="61" spans="3:36" x14ac:dyDescent="0.3">
      <c r="C61" s="171">
        <f t="shared" si="1"/>
        <v>43960</v>
      </c>
      <c r="E61" s="284">
        <v>333122</v>
      </c>
      <c r="F61" s="7"/>
      <c r="G61" s="7">
        <v>137397</v>
      </c>
      <c r="H61" s="7"/>
      <c r="I61" s="7">
        <v>32984</v>
      </c>
      <c r="J61" s="287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5">
        <f t="shared" si="4"/>
        <v>4845</v>
      </c>
      <c r="R61" s="6"/>
      <c r="S61" s="7">
        <f>26563+9116+2932</f>
        <v>38611</v>
      </c>
      <c r="T61" s="6"/>
      <c r="U61" s="286">
        <f t="shared" si="10"/>
        <v>7.6684746664865952E-2</v>
      </c>
      <c r="W61">
        <f t="shared" si="0"/>
        <v>51</v>
      </c>
    </row>
    <row r="62" spans="3:36" x14ac:dyDescent="0.3">
      <c r="C62" s="171">
        <f t="shared" si="1"/>
        <v>43961</v>
      </c>
      <c r="E62" s="284">
        <v>335395</v>
      </c>
      <c r="F62" s="7"/>
      <c r="G62" s="7">
        <v>138754</v>
      </c>
      <c r="H62" s="7"/>
      <c r="I62" s="7">
        <v>33554</v>
      </c>
      <c r="J62" s="287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5">
        <f t="shared" ref="Q62:Q97" si="11">+K62-K61</f>
        <v>4200</v>
      </c>
      <c r="R62" s="6"/>
      <c r="S62" s="7">
        <f>26641+9256+2967</f>
        <v>38864</v>
      </c>
      <c r="T62" s="6"/>
      <c r="U62" s="286">
        <f t="shared" si="10"/>
        <v>7.6548690868480193E-2</v>
      </c>
      <c r="W62">
        <f t="shared" si="0"/>
        <v>52</v>
      </c>
    </row>
    <row r="63" spans="3:36" x14ac:dyDescent="0.3">
      <c r="C63" s="171">
        <f t="shared" si="1"/>
        <v>43962</v>
      </c>
      <c r="E63" s="284">
        <v>337055</v>
      </c>
      <c r="F63" s="7"/>
      <c r="G63" s="7">
        <v>140206</v>
      </c>
      <c r="H63" s="7"/>
      <c r="I63" s="7">
        <v>33765</v>
      </c>
      <c r="J63" s="287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5">
        <f t="shared" si="11"/>
        <v>3323</v>
      </c>
      <c r="R63" s="6"/>
      <c r="S63" s="7">
        <f>26721+9340+3008</f>
        <v>39069</v>
      </c>
      <c r="T63" s="6"/>
      <c r="U63" s="286">
        <f t="shared" si="10"/>
        <v>7.6452078759202069E-2</v>
      </c>
      <c r="W63">
        <f t="shared" si="0"/>
        <v>53</v>
      </c>
    </row>
    <row r="64" spans="3:36" x14ac:dyDescent="0.3">
      <c r="C64" s="170">
        <f t="shared" si="1"/>
        <v>43963</v>
      </c>
      <c r="E64" s="284">
        <v>338485</v>
      </c>
      <c r="F64" s="7"/>
      <c r="G64" s="7">
        <v>140917</v>
      </c>
      <c r="H64" s="7"/>
      <c r="I64" s="7">
        <v>34333</v>
      </c>
      <c r="J64" s="287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5">
        <f t="shared" si="11"/>
        <v>2709</v>
      </c>
      <c r="R64" s="6"/>
      <c r="S64" s="7">
        <f>27284+9531+3041</f>
        <v>39856</v>
      </c>
      <c r="T64" s="6"/>
      <c r="U64" s="286">
        <f t="shared" si="10"/>
        <v>7.7580853942207553E-2</v>
      </c>
      <c r="W64">
        <f t="shared" si="0"/>
        <v>54</v>
      </c>
    </row>
    <row r="65" spans="3:23" x14ac:dyDescent="0.3">
      <c r="C65" s="170">
        <f t="shared" si="1"/>
        <v>43964</v>
      </c>
      <c r="E65" s="284">
        <v>340661</v>
      </c>
      <c r="F65" s="7"/>
      <c r="G65" s="7">
        <v>141560</v>
      </c>
      <c r="H65" s="7"/>
      <c r="I65" s="7">
        <v>34895</v>
      </c>
      <c r="J65" s="287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5">
        <f t="shared" si="11"/>
        <v>3381</v>
      </c>
      <c r="R65" s="6"/>
      <c r="S65" s="7">
        <f>27477+9714+3125</f>
        <v>40316</v>
      </c>
      <c r="T65" s="6"/>
      <c r="U65" s="286">
        <f t="shared" si="10"/>
        <v>7.7963164937847607E-2</v>
      </c>
      <c r="W65">
        <f t="shared" si="0"/>
        <v>55</v>
      </c>
    </row>
    <row r="66" spans="3:23" x14ac:dyDescent="0.3">
      <c r="C66" s="170">
        <f t="shared" si="1"/>
        <v>43965</v>
      </c>
      <c r="E66" s="284">
        <v>343051</v>
      </c>
      <c r="F66" s="7"/>
      <c r="G66" s="7">
        <v>142704</v>
      </c>
      <c r="H66" s="7"/>
      <c r="I66" s="7">
        <v>35464</v>
      </c>
      <c r="J66" s="287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5">
        <f t="shared" si="11"/>
        <v>4103</v>
      </c>
      <c r="R66" s="6"/>
      <c r="S66" s="7">
        <f>27607+9946+3219</f>
        <v>40772</v>
      </c>
      <c r="T66" s="6"/>
      <c r="U66" s="286">
        <f t="shared" ref="U66:U97" si="14">+S66/K66</f>
        <v>7.8224316458149076E-2</v>
      </c>
      <c r="W66">
        <f t="shared" si="0"/>
        <v>56</v>
      </c>
    </row>
    <row r="67" spans="3:23" x14ac:dyDescent="0.3">
      <c r="C67" s="170">
        <f t="shared" si="1"/>
        <v>43966</v>
      </c>
      <c r="E67" s="284">
        <v>345813</v>
      </c>
      <c r="F67" s="7"/>
      <c r="G67" s="7">
        <v>143984</v>
      </c>
      <c r="H67" s="7"/>
      <c r="I67" s="7">
        <v>36805</v>
      </c>
      <c r="J67" s="287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5">
        <f t="shared" si="11"/>
        <v>5383</v>
      </c>
      <c r="R67" s="6"/>
      <c r="S67" s="7">
        <f>27607+9946+3219</f>
        <v>40772</v>
      </c>
      <c r="T67" s="6"/>
      <c r="U67" s="286">
        <f t="shared" si="14"/>
        <v>7.7424696450070454E-2</v>
      </c>
      <c r="W67">
        <f t="shared" si="0"/>
        <v>57</v>
      </c>
    </row>
    <row r="68" spans="3:23" x14ac:dyDescent="0.3">
      <c r="C68" s="170">
        <f t="shared" si="1"/>
        <v>43967</v>
      </c>
      <c r="E68" s="284">
        <v>348232</v>
      </c>
      <c r="F68" s="7"/>
      <c r="G68" s="7">
        <v>145089</v>
      </c>
      <c r="H68" s="7"/>
      <c r="I68" s="7">
        <v>36703</v>
      </c>
      <c r="J68" s="287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5">
        <f t="shared" si="11"/>
        <v>3422</v>
      </c>
      <c r="R68" s="6"/>
      <c r="S68" s="7">
        <f>28049+10261+3339</f>
        <v>41649</v>
      </c>
      <c r="T68" s="6"/>
      <c r="U68" s="286">
        <f t="shared" si="14"/>
        <v>7.8579460552729685E-2</v>
      </c>
      <c r="W68">
        <f t="shared" si="0"/>
        <v>58</v>
      </c>
    </row>
    <row r="69" spans="3:23" x14ac:dyDescent="0.3">
      <c r="C69" s="170">
        <f t="shared" si="1"/>
        <v>43968</v>
      </c>
      <c r="E69" s="284">
        <v>350121</v>
      </c>
      <c r="F69" s="7"/>
      <c r="G69" s="7">
        <v>146504</v>
      </c>
      <c r="H69" s="7"/>
      <c r="I69" s="7">
        <v>37419</v>
      </c>
      <c r="J69" s="287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5">
        <f t="shared" si="11"/>
        <v>4020</v>
      </c>
      <c r="R69" s="6"/>
      <c r="S69" s="7">
        <f>28232+10363+3408</f>
        <v>42003</v>
      </c>
      <c r="T69" s="6"/>
      <c r="U69" s="286">
        <f t="shared" si="14"/>
        <v>7.8650822778647447E-2</v>
      </c>
      <c r="W69">
        <f t="shared" si="0"/>
        <v>59</v>
      </c>
    </row>
    <row r="70" spans="3:23" x14ac:dyDescent="0.3">
      <c r="C70" s="170">
        <f t="shared" si="1"/>
        <v>43969</v>
      </c>
      <c r="E70" s="284">
        <v>351371</v>
      </c>
      <c r="F70" s="7"/>
      <c r="G70" s="7">
        <v>148240</v>
      </c>
      <c r="H70" s="7"/>
      <c r="I70" s="7">
        <v>38116</v>
      </c>
      <c r="J70" s="287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5">
        <f t="shared" si="11"/>
        <v>3683</v>
      </c>
      <c r="R70" s="6"/>
      <c r="S70" s="7">
        <f>28339+10439+5862</f>
        <v>44640</v>
      </c>
      <c r="T70" s="6"/>
      <c r="U70" s="286">
        <f t="shared" si="14"/>
        <v>8.3016102966747066E-2</v>
      </c>
      <c r="W70">
        <f t="shared" si="0"/>
        <v>60</v>
      </c>
    </row>
    <row r="71" spans="3:23" x14ac:dyDescent="0.3">
      <c r="C71" s="170">
        <f t="shared" si="1"/>
        <v>43970</v>
      </c>
      <c r="E71" s="284">
        <v>352845</v>
      </c>
      <c r="F71" s="7"/>
      <c r="G71" s="7">
        <v>149356</v>
      </c>
      <c r="H71" s="7"/>
      <c r="I71" s="7">
        <v>38430</v>
      </c>
      <c r="J71" s="287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5">
        <f t="shared" si="11"/>
        <v>2904</v>
      </c>
      <c r="R71" s="6"/>
      <c r="S71" s="7">
        <f>28558+10587+3472</f>
        <v>42617</v>
      </c>
      <c r="T71" s="6"/>
      <c r="U71" s="286">
        <f t="shared" si="14"/>
        <v>7.8828258091008463E-2</v>
      </c>
      <c r="W71">
        <f t="shared" si="0"/>
        <v>61</v>
      </c>
    </row>
    <row r="72" spans="3:23" x14ac:dyDescent="0.3">
      <c r="C72" s="170">
        <f t="shared" si="1"/>
        <v>43971</v>
      </c>
      <c r="E72" s="284">
        <v>354370</v>
      </c>
      <c r="F72" s="7"/>
      <c r="G72" s="7">
        <v>150776</v>
      </c>
      <c r="H72" s="7"/>
      <c r="I72" s="7">
        <v>39017</v>
      </c>
      <c r="J72" s="287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5">
        <f t="shared" si="11"/>
        <v>3532</v>
      </c>
      <c r="R72" s="6"/>
      <c r="S72" s="7">
        <f>28636+10749+3529</f>
        <v>42914</v>
      </c>
      <c r="T72" s="6"/>
      <c r="U72" s="286">
        <f t="shared" si="14"/>
        <v>7.8862399685388385E-2</v>
      </c>
      <c r="W72">
        <f t="shared" si="0"/>
        <v>62</v>
      </c>
    </row>
    <row r="73" spans="3:23" x14ac:dyDescent="0.3">
      <c r="C73" s="170">
        <f t="shared" si="1"/>
        <v>43972</v>
      </c>
      <c r="E73" s="284">
        <v>356458</v>
      </c>
      <c r="F73" s="7"/>
      <c r="G73" s="7">
        <v>151586</v>
      </c>
      <c r="H73" s="7"/>
      <c r="I73" s="7">
        <v>39208</v>
      </c>
      <c r="J73" s="287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5">
        <f t="shared" si="11"/>
        <v>3089</v>
      </c>
      <c r="R73" s="6"/>
      <c r="S73" s="7">
        <f>28743+10846+3583</f>
        <v>43172</v>
      </c>
      <c r="T73" s="6"/>
      <c r="U73" s="286">
        <f t="shared" si="14"/>
        <v>7.888870209702295E-2</v>
      </c>
      <c r="W73">
        <f t="shared" si="0"/>
        <v>63</v>
      </c>
    </row>
    <row r="74" spans="3:23" x14ac:dyDescent="0.3">
      <c r="C74" s="170">
        <f t="shared" si="1"/>
        <v>43973</v>
      </c>
      <c r="E74" s="284">
        <v>358154</v>
      </c>
      <c r="F74" s="7"/>
      <c r="G74" s="7">
        <v>152579</v>
      </c>
      <c r="H74" s="7"/>
      <c r="I74" s="7">
        <v>39640</v>
      </c>
      <c r="J74" s="287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5">
        <f t="shared" si="11"/>
        <v>3121</v>
      </c>
      <c r="R74" s="6"/>
      <c r="S74" s="7">
        <f>28853+10985+3637</f>
        <v>43475</v>
      </c>
      <c r="T74" s="6"/>
      <c r="U74" s="286">
        <f t="shared" si="14"/>
        <v>7.899188368615466E-2</v>
      </c>
      <c r="W74">
        <f t="shared" si="0"/>
        <v>64</v>
      </c>
    </row>
    <row r="75" spans="3:23" x14ac:dyDescent="0.3">
      <c r="C75" s="170">
        <f t="shared" si="1"/>
        <v>43974</v>
      </c>
      <c r="E75" s="284">
        <v>359926</v>
      </c>
      <c r="F75" s="7"/>
      <c r="G75" s="7">
        <v>153140</v>
      </c>
      <c r="H75" s="7"/>
      <c r="I75" s="7">
        <v>39640</v>
      </c>
      <c r="J75" s="287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5">
        <f t="shared" si="11"/>
        <v>2333</v>
      </c>
      <c r="R75" s="6"/>
      <c r="S75" s="7">
        <f>28926+11082+3637</f>
        <v>43645</v>
      </c>
      <c r="T75" s="6"/>
      <c r="U75" s="286">
        <f t="shared" si="14"/>
        <v>7.896603257427999E-2</v>
      </c>
      <c r="W75">
        <f t="shared" si="0"/>
        <v>65</v>
      </c>
    </row>
    <row r="76" spans="3:23" x14ac:dyDescent="0.3">
      <c r="C76" s="170">
        <f t="shared" si="1"/>
        <v>43975</v>
      </c>
      <c r="E76" s="284">
        <v>361515</v>
      </c>
      <c r="F76" s="7"/>
      <c r="G76" s="7">
        <v>154154</v>
      </c>
      <c r="H76" s="7"/>
      <c r="I76" s="7">
        <v>40468</v>
      </c>
      <c r="J76" s="287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5">
        <f t="shared" si="11"/>
        <v>3431</v>
      </c>
      <c r="R76" s="6"/>
      <c r="S76" s="7">
        <f>29141+11138+3696</f>
        <v>43975</v>
      </c>
      <c r="T76" s="6"/>
      <c r="U76" s="286">
        <f t="shared" si="14"/>
        <v>7.9072242990486152E-2</v>
      </c>
      <c r="W76">
        <f t="shared" si="0"/>
        <v>66</v>
      </c>
    </row>
    <row r="77" spans="3:23" x14ac:dyDescent="0.3">
      <c r="C77" s="170">
        <f t="shared" si="1"/>
        <v>43976</v>
      </c>
      <c r="E77" s="284">
        <v>362764</v>
      </c>
      <c r="F77" s="7"/>
      <c r="G77" s="7">
        <v>155092</v>
      </c>
      <c r="H77" s="7"/>
      <c r="I77" s="7">
        <v>40873</v>
      </c>
      <c r="J77" s="287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5">
        <f t="shared" si="11"/>
        <v>2592</v>
      </c>
      <c r="R77" s="6"/>
      <c r="S77" s="7">
        <f>29229+11147+3742</f>
        <v>44118</v>
      </c>
      <c r="T77" s="6"/>
      <c r="U77" s="286">
        <f t="shared" si="14"/>
        <v>7.8961356936905008E-2</v>
      </c>
      <c r="W77">
        <f t="shared" si="0"/>
        <v>67</v>
      </c>
    </row>
    <row r="78" spans="3:23" x14ac:dyDescent="0.3">
      <c r="C78" s="170">
        <f t="shared" si="1"/>
        <v>43977</v>
      </c>
      <c r="E78" s="284">
        <v>363836</v>
      </c>
      <c r="F78" s="7"/>
      <c r="G78" s="7">
        <v>155764</v>
      </c>
      <c r="H78" s="7"/>
      <c r="I78" s="7">
        <v>41303</v>
      </c>
      <c r="J78" s="287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5">
        <f t="shared" si="11"/>
        <v>2174</v>
      </c>
      <c r="R78" s="6"/>
      <c r="S78" s="7">
        <f>29302+11194+3769</f>
        <v>44265</v>
      </c>
      <c r="T78" s="6"/>
      <c r="U78" s="286">
        <f t="shared" si="14"/>
        <v>7.8917388568076827E-2</v>
      </c>
      <c r="W78">
        <f t="shared" si="0"/>
        <v>68</v>
      </c>
    </row>
    <row r="79" spans="3:23" x14ac:dyDescent="0.3">
      <c r="C79" s="170">
        <f t="shared" si="1"/>
        <v>43978</v>
      </c>
      <c r="E79" s="284">
        <v>364965</v>
      </c>
      <c r="F79" s="7"/>
      <c r="G79" s="7">
        <v>156628</v>
      </c>
      <c r="H79" s="7"/>
      <c r="I79" s="7">
        <v>41288</v>
      </c>
      <c r="J79" s="287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5">
        <f t="shared" si="11"/>
        <v>1978</v>
      </c>
      <c r="R79" s="6"/>
      <c r="S79" s="7">
        <f>29484+11339+3803</f>
        <v>44626</v>
      </c>
      <c r="T79" s="6"/>
      <c r="U79" s="286">
        <f t="shared" si="14"/>
        <v>7.9281411168612897E-2</v>
      </c>
      <c r="W79">
        <f t="shared" si="0"/>
        <v>69</v>
      </c>
    </row>
    <row r="80" spans="3:23" x14ac:dyDescent="0.3">
      <c r="C80" s="170">
        <f t="shared" si="1"/>
        <v>43979</v>
      </c>
      <c r="E80" s="284">
        <v>366733</v>
      </c>
      <c r="F80" s="7"/>
      <c r="G80" s="7">
        <v>157185</v>
      </c>
      <c r="H80" s="7"/>
      <c r="I80" s="7">
        <v>41559</v>
      </c>
      <c r="J80" s="287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5">
        <f t="shared" si="11"/>
        <v>2596</v>
      </c>
      <c r="R80" s="6"/>
      <c r="S80" s="7">
        <f>29484+11339+3803</f>
        <v>44626</v>
      </c>
      <c r="T80" s="6"/>
      <c r="U80" s="286">
        <f t="shared" si="14"/>
        <v>7.8917444918184115E-2</v>
      </c>
      <c r="W80">
        <f t="shared" si="0"/>
        <v>70</v>
      </c>
    </row>
    <row r="81" spans="3:25" x14ac:dyDescent="0.3">
      <c r="C81" s="170">
        <f t="shared" si="1"/>
        <v>43980</v>
      </c>
      <c r="E81" s="284">
        <v>368284</v>
      </c>
      <c r="F81" s="7"/>
      <c r="G81" s="7">
        <v>158844</v>
      </c>
      <c r="H81" s="7"/>
      <c r="I81" s="7">
        <v>41762</v>
      </c>
      <c r="J81" s="287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5">
        <f t="shared" si="11"/>
        <v>3413</v>
      </c>
      <c r="R81" s="6"/>
      <c r="S81" s="7">
        <f>29646+11531+3868</f>
        <v>45045</v>
      </c>
      <c r="T81" s="6"/>
      <c r="U81" s="286">
        <f t="shared" si="14"/>
        <v>7.9180509413067549E-2</v>
      </c>
      <c r="W81">
        <f t="shared" si="0"/>
        <v>71</v>
      </c>
    </row>
    <row r="82" spans="3:25" x14ac:dyDescent="0.3">
      <c r="C82" s="170">
        <f t="shared" si="1"/>
        <v>43981</v>
      </c>
      <c r="E82" s="284">
        <v>369660</v>
      </c>
      <c r="F82" s="7"/>
      <c r="G82" s="7">
        <v>159608</v>
      </c>
      <c r="H82" s="7"/>
      <c r="I82" s="7">
        <v>42022</v>
      </c>
      <c r="J82" s="287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5">
        <f t="shared" si="11"/>
        <v>2400</v>
      </c>
      <c r="R82" s="6"/>
      <c r="S82" s="7">
        <f>29646+11531+3868</f>
        <v>45045</v>
      </c>
      <c r="T82" s="6"/>
      <c r="U82" s="286">
        <f t="shared" si="14"/>
        <v>7.8847870608622597E-2</v>
      </c>
      <c r="W82">
        <f t="shared" si="0"/>
        <v>72</v>
      </c>
    </row>
    <row r="83" spans="3:25" x14ac:dyDescent="0.3">
      <c r="C83" s="170">
        <f t="shared" si="1"/>
        <v>43982</v>
      </c>
      <c r="E83" s="284">
        <v>370770</v>
      </c>
      <c r="F83" s="7"/>
      <c r="G83" s="7">
        <v>160445</v>
      </c>
      <c r="H83" s="7"/>
      <c r="I83" s="7">
        <v>42201</v>
      </c>
      <c r="J83" s="287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5">
        <f t="shared" si="11"/>
        <v>2126</v>
      </c>
      <c r="R83" s="6"/>
      <c r="S83" s="7">
        <f>29784+11698+3944</f>
        <v>45426</v>
      </c>
      <c r="T83" s="6"/>
      <c r="U83" s="286">
        <f t="shared" si="14"/>
        <v>7.9219972934135074E-2</v>
      </c>
      <c r="W83">
        <f t="shared" si="0"/>
        <v>73</v>
      </c>
    </row>
    <row r="84" spans="3:25" x14ac:dyDescent="0.3">
      <c r="C84" s="170">
        <f t="shared" si="1"/>
        <v>43983</v>
      </c>
      <c r="E84" s="284">
        <v>371711</v>
      </c>
      <c r="F84" s="7"/>
      <c r="G84" s="7">
        <v>160918</v>
      </c>
      <c r="H84" s="7"/>
      <c r="I84" s="7">
        <v>42201</v>
      </c>
      <c r="J84" s="287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5">
        <f t="shared" si="11"/>
        <v>1414</v>
      </c>
      <c r="R84" s="6"/>
      <c r="S84" s="7">
        <f>29833+11723+3971</f>
        <v>45527</v>
      </c>
      <c r="T84" s="6"/>
      <c r="U84" s="286">
        <f t="shared" si="14"/>
        <v>7.9200807195170753E-2</v>
      </c>
      <c r="W84">
        <f t="shared" si="0"/>
        <v>74</v>
      </c>
    </row>
    <row r="85" spans="3:25" x14ac:dyDescent="0.3">
      <c r="C85" s="170">
        <f t="shared" si="1"/>
        <v>43984</v>
      </c>
      <c r="E85" s="284">
        <v>373040</v>
      </c>
      <c r="F85" s="7"/>
      <c r="G85" s="7">
        <v>161545</v>
      </c>
      <c r="H85" s="7"/>
      <c r="I85" s="7">
        <v>42979</v>
      </c>
      <c r="J85" s="287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5">
        <f t="shared" si="11"/>
        <v>2734</v>
      </c>
      <c r="R85" s="6"/>
      <c r="S85" s="7">
        <f>29968+11771+3972</f>
        <v>45711</v>
      </c>
      <c r="T85" s="6"/>
      <c r="U85" s="286">
        <f t="shared" si="14"/>
        <v>7.9144475763724881E-2</v>
      </c>
      <c r="W85">
        <f t="shared" si="0"/>
        <v>75</v>
      </c>
    </row>
    <row r="86" spans="3:25" x14ac:dyDescent="0.3">
      <c r="C86" s="170">
        <f t="shared" si="1"/>
        <v>43985</v>
      </c>
      <c r="E86" s="284">
        <v>374085</v>
      </c>
      <c r="F86" s="7"/>
      <c r="G86" s="7">
        <v>162068</v>
      </c>
      <c r="H86" s="7"/>
      <c r="I86" s="7">
        <v>43091</v>
      </c>
      <c r="J86" s="287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5">
        <f t="shared" si="11"/>
        <v>1680</v>
      </c>
      <c r="R86" s="6"/>
      <c r="S86" s="7">
        <f>30019+11880+3989</f>
        <v>45888</v>
      </c>
      <c r="T86" s="6"/>
      <c r="U86" s="286">
        <f t="shared" si="14"/>
        <v>7.9220501205018959E-2</v>
      </c>
      <c r="W86">
        <f t="shared" si="0"/>
        <v>76</v>
      </c>
    </row>
    <row r="87" spans="3:25" x14ac:dyDescent="0.3">
      <c r="C87" s="170">
        <f t="shared" si="1"/>
        <v>43986</v>
      </c>
      <c r="E87" s="284">
        <v>375133</v>
      </c>
      <c r="F87" s="7"/>
      <c r="G87" s="7">
        <v>162530</v>
      </c>
      <c r="H87" s="7"/>
      <c r="I87" s="7">
        <v>43239</v>
      </c>
      <c r="J87" s="287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5">
        <f t="shared" si="11"/>
        <v>1658</v>
      </c>
      <c r="R87" s="6"/>
      <c r="S87" s="7">
        <f>30090+11970+4007</f>
        <v>46067</v>
      </c>
      <c r="T87" s="6"/>
      <c r="U87" s="286">
        <f t="shared" si="14"/>
        <v>7.9302532957366306E-2</v>
      </c>
      <c r="W87">
        <f t="shared" si="0"/>
        <v>77</v>
      </c>
    </row>
    <row r="88" spans="3:25" x14ac:dyDescent="0.3">
      <c r="C88" s="170">
        <f t="shared" si="1"/>
        <v>43987</v>
      </c>
      <c r="E88" s="284">
        <v>376208</v>
      </c>
      <c r="F88" s="7"/>
      <c r="G88" s="7">
        <v>163336</v>
      </c>
      <c r="H88" s="7"/>
      <c r="I88" s="7">
        <v>43460</v>
      </c>
      <c r="J88" s="287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5">
        <f t="shared" si="11"/>
        <v>2102</v>
      </c>
      <c r="R88" s="6"/>
      <c r="S88" s="7">
        <f>30236+12049+4038</f>
        <v>46323</v>
      </c>
      <c r="T88" s="6"/>
      <c r="U88" s="286">
        <f t="shared" si="14"/>
        <v>7.9455715569704502E-2</v>
      </c>
      <c r="W88">
        <f t="shared" si="0"/>
        <v>78</v>
      </c>
    </row>
    <row r="89" spans="3:25" x14ac:dyDescent="0.3">
      <c r="C89" s="170">
        <f t="shared" si="1"/>
        <v>43988</v>
      </c>
      <c r="E89" s="284">
        <v>377316</v>
      </c>
      <c r="F89" s="7"/>
      <c r="G89" s="7">
        <v>163893</v>
      </c>
      <c r="H89" s="7"/>
      <c r="I89" s="7">
        <v>43818</v>
      </c>
      <c r="J89" s="287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5">
        <f t="shared" si="11"/>
        <v>2023</v>
      </c>
      <c r="R89" s="6"/>
      <c r="S89" s="7">
        <f>30280+12106+4055</f>
        <v>46441</v>
      </c>
      <c r="T89" s="6"/>
      <c r="U89" s="286">
        <f t="shared" si="14"/>
        <v>7.9382660971203042E-2</v>
      </c>
      <c r="W89">
        <f t="shared" si="0"/>
        <v>79</v>
      </c>
      <c r="X89" s="56"/>
    </row>
    <row r="90" spans="3:25" x14ac:dyDescent="0.3">
      <c r="C90" s="170">
        <f t="shared" si="1"/>
        <v>43989</v>
      </c>
      <c r="E90" s="284">
        <v>378097</v>
      </c>
      <c r="F90" s="7"/>
      <c r="G90" s="7">
        <v>164164</v>
      </c>
      <c r="H90" s="7"/>
      <c r="I90" s="7">
        <v>43968</v>
      </c>
      <c r="J90" s="287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5">
        <f t="shared" si="11"/>
        <v>1202</v>
      </c>
      <c r="R90" s="6"/>
      <c r="S90" s="7">
        <f>30374+12176+4071</f>
        <v>46621</v>
      </c>
      <c r="T90" s="6"/>
      <c r="U90" s="286">
        <f t="shared" si="14"/>
        <v>7.9526942542931175E-2</v>
      </c>
      <c r="W90">
        <f t="shared" si="0"/>
        <v>80</v>
      </c>
    </row>
    <row r="91" spans="3:25" x14ac:dyDescent="0.3">
      <c r="C91" s="170">
        <f t="shared" si="1"/>
        <v>43990</v>
      </c>
      <c r="E91" s="284">
        <v>378799</v>
      </c>
      <c r="F91" s="7"/>
      <c r="G91" s="7">
        <v>164497</v>
      </c>
      <c r="H91" s="7"/>
      <c r="I91" s="7">
        <v>44093</v>
      </c>
      <c r="J91" s="287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5">
        <f t="shared" si="11"/>
        <v>1160</v>
      </c>
      <c r="R91" s="6"/>
      <c r="S91" s="7">
        <f>30417+12214+4084</f>
        <v>46715</v>
      </c>
      <c r="T91" s="6"/>
      <c r="U91" s="286">
        <f t="shared" si="14"/>
        <v>7.952991969546587E-2</v>
      </c>
      <c r="W91">
        <f t="shared" si="0"/>
        <v>81</v>
      </c>
    </row>
    <row r="92" spans="3:25" x14ac:dyDescent="0.3">
      <c r="C92" s="170">
        <f t="shared" si="1"/>
        <v>43991</v>
      </c>
      <c r="E92" s="284">
        <v>379482</v>
      </c>
      <c r="F92" s="7"/>
      <c r="G92" s="7">
        <v>164796</v>
      </c>
      <c r="H92" s="7"/>
      <c r="I92" s="7">
        <v>44179</v>
      </c>
      <c r="J92" s="287"/>
      <c r="K92" s="7">
        <f t="shared" si="12"/>
        <v>588457</v>
      </c>
      <c r="L92" s="6"/>
      <c r="M92" s="474">
        <f t="shared" si="13"/>
        <v>1.8182158671680947E-3</v>
      </c>
      <c r="N92" s="29"/>
      <c r="O92" s="29"/>
      <c r="P92" s="29"/>
      <c r="Q92" s="375">
        <f t="shared" si="11"/>
        <v>1068</v>
      </c>
      <c r="R92" s="6"/>
      <c r="S92" s="7">
        <f>30458+12303+4097</f>
        <v>46858</v>
      </c>
      <c r="T92" s="6"/>
      <c r="U92" s="286">
        <f t="shared" si="14"/>
        <v>7.9628587985188376E-2</v>
      </c>
      <c r="W92">
        <f t="shared" si="0"/>
        <v>82</v>
      </c>
    </row>
    <row r="93" spans="3:25" x14ac:dyDescent="0.3">
      <c r="C93" s="170">
        <f t="shared" si="1"/>
        <v>43992</v>
      </c>
      <c r="E93" s="284">
        <v>380156</v>
      </c>
      <c r="F93" s="7"/>
      <c r="G93" s="7">
        <v>165346</v>
      </c>
      <c r="H93" s="7"/>
      <c r="I93" s="7">
        <v>44347</v>
      </c>
      <c r="J93" s="287"/>
      <c r="K93" s="7">
        <f t="shared" si="12"/>
        <v>589849</v>
      </c>
      <c r="L93" s="6"/>
      <c r="M93" s="474">
        <f t="shared" si="13"/>
        <v>2.3655084398690133E-3</v>
      </c>
      <c r="N93" s="29"/>
      <c r="O93" s="29"/>
      <c r="P93" s="29"/>
      <c r="Q93" s="375">
        <f t="shared" si="11"/>
        <v>1392</v>
      </c>
      <c r="R93" s="6"/>
      <c r="S93" s="7">
        <f>30458+12303+4097</f>
        <v>46858</v>
      </c>
      <c r="T93" s="6"/>
      <c r="U93" s="286">
        <f t="shared" si="14"/>
        <v>7.9440670408867348E-2</v>
      </c>
      <c r="W93">
        <f t="shared" si="0"/>
        <v>83</v>
      </c>
    </row>
    <row r="94" spans="3:25" x14ac:dyDescent="0.3">
      <c r="C94" s="170">
        <f t="shared" si="1"/>
        <v>43993</v>
      </c>
      <c r="E94" s="284">
        <v>380892</v>
      </c>
      <c r="F94" s="7"/>
      <c r="G94" s="7">
        <v>165816</v>
      </c>
      <c r="H94" s="7"/>
      <c r="I94" s="7">
        <v>44461</v>
      </c>
      <c r="J94" s="287"/>
      <c r="K94" s="7">
        <f t="shared" si="12"/>
        <v>591169</v>
      </c>
      <c r="L94" s="6"/>
      <c r="M94" s="474">
        <f t="shared" si="13"/>
        <v>2.237860876258161E-3</v>
      </c>
      <c r="N94" s="29"/>
      <c r="O94" s="29"/>
      <c r="P94" s="29"/>
      <c r="Q94" s="375">
        <f t="shared" si="11"/>
        <v>1320</v>
      </c>
      <c r="R94" s="6"/>
      <c r="S94" s="7">
        <f>30575+12443+4148</f>
        <v>47166</v>
      </c>
      <c r="T94" s="6"/>
      <c r="U94" s="286">
        <f t="shared" si="14"/>
        <v>7.9784291801498389E-2</v>
      </c>
      <c r="W94">
        <f t="shared" si="0"/>
        <v>84</v>
      </c>
    </row>
    <row r="95" spans="3:25" x14ac:dyDescent="0.3">
      <c r="C95" s="170">
        <f t="shared" si="1"/>
        <v>43994</v>
      </c>
      <c r="E95" s="284">
        <v>381714</v>
      </c>
      <c r="F95" s="7"/>
      <c r="G95" s="7">
        <v>166164</v>
      </c>
      <c r="H95" s="7"/>
      <c r="I95" s="7">
        <v>44689</v>
      </c>
      <c r="J95" s="287"/>
      <c r="K95" s="7">
        <f t="shared" si="12"/>
        <v>592567</v>
      </c>
      <c r="L95" s="6"/>
      <c r="M95" s="474">
        <f t="shared" si="13"/>
        <v>2.3648060030211325E-3</v>
      </c>
      <c r="N95" s="29"/>
      <c r="O95" s="29"/>
      <c r="P95" s="29"/>
      <c r="Q95" s="375">
        <f t="shared" si="11"/>
        <v>1398</v>
      </c>
      <c r="R95" s="6"/>
      <c r="S95" s="7">
        <f>30758+12489+4159</f>
        <v>47406</v>
      </c>
      <c r="T95" s="6"/>
      <c r="U95" s="286">
        <f t="shared" si="14"/>
        <v>8.000108004664451E-2</v>
      </c>
      <c r="W95">
        <f t="shared" si="0"/>
        <v>85</v>
      </c>
    </row>
    <row r="96" spans="3:25" x14ac:dyDescent="0.3">
      <c r="C96" s="170">
        <f t="shared" si="1"/>
        <v>43995</v>
      </c>
      <c r="E96" s="284">
        <v>382630</v>
      </c>
      <c r="F96" s="7"/>
      <c r="G96" s="7">
        <v>166605</v>
      </c>
      <c r="H96" s="7"/>
      <c r="I96" s="7">
        <v>44994</v>
      </c>
      <c r="J96" s="287"/>
      <c r="K96" s="7">
        <f t="shared" si="12"/>
        <v>594229</v>
      </c>
      <c r="L96" s="6"/>
      <c r="M96" s="474">
        <f t="shared" si="13"/>
        <v>2.804746129973488E-3</v>
      </c>
      <c r="N96" s="29"/>
      <c r="O96" s="29"/>
      <c r="P96" s="29"/>
      <c r="Q96" s="375">
        <f t="shared" si="11"/>
        <v>1662</v>
      </c>
      <c r="R96" s="6"/>
      <c r="S96" s="7">
        <f>30795+12621+4186</f>
        <v>47602</v>
      </c>
      <c r="T96" s="6"/>
      <c r="U96" s="286">
        <f t="shared" si="14"/>
        <v>8.010716407310986E-2</v>
      </c>
      <c r="W96">
        <f t="shared" si="0"/>
        <v>86</v>
      </c>
      <c r="Y96" s="56"/>
    </row>
    <row r="97" spans="3:25" x14ac:dyDescent="0.3">
      <c r="C97" s="170">
        <f t="shared" si="1"/>
        <v>43996</v>
      </c>
      <c r="E97" s="284">
        <v>383324</v>
      </c>
      <c r="F97" s="7"/>
      <c r="G97" s="7">
        <v>166881</v>
      </c>
      <c r="H97" s="7"/>
      <c r="I97" s="7">
        <v>45088</v>
      </c>
      <c r="J97" s="287"/>
      <c r="K97" s="7">
        <f t="shared" si="12"/>
        <v>595293</v>
      </c>
      <c r="L97" s="6"/>
      <c r="M97" s="474">
        <f t="shared" si="13"/>
        <v>1.7905554929160308E-3</v>
      </c>
      <c r="N97" s="29"/>
      <c r="O97" s="29"/>
      <c r="P97" s="29"/>
      <c r="Q97" s="375">
        <f t="shared" si="11"/>
        <v>1064</v>
      </c>
      <c r="R97" s="6"/>
      <c r="S97" s="7">
        <f>30825+12659+4201</f>
        <v>47685</v>
      </c>
      <c r="T97" s="6"/>
      <c r="U97" s="286">
        <f t="shared" si="14"/>
        <v>8.010341126134525E-2</v>
      </c>
      <c r="W97">
        <f t="shared" si="0"/>
        <v>87</v>
      </c>
      <c r="Y97" s="56"/>
    </row>
    <row r="98" spans="3:25" x14ac:dyDescent="0.3">
      <c r="C98" s="170">
        <f t="shared" ref="C98:C194" si="15">+C97+1</f>
        <v>43997</v>
      </c>
      <c r="E98" s="284">
        <v>383944</v>
      </c>
      <c r="F98" s="7"/>
      <c r="G98" s="7">
        <v>167106</v>
      </c>
      <c r="H98" s="7"/>
      <c r="I98" s="7">
        <v>45235</v>
      </c>
      <c r="J98" s="287"/>
      <c r="K98" s="7">
        <f t="shared" ref="K98:K109" si="16">SUM(E98:I98)</f>
        <v>596285</v>
      </c>
      <c r="L98" s="6"/>
      <c r="M98" s="474">
        <f t="shared" ref="M98:M109" si="17">+(K98-K97)/K97</f>
        <v>1.6664062906837473E-3</v>
      </c>
      <c r="N98" s="29"/>
      <c r="O98" s="29"/>
      <c r="P98" s="29"/>
      <c r="Q98" s="375">
        <f t="shared" ref="Q98:Q109" si="18">+K98-K97</f>
        <v>992</v>
      </c>
      <c r="R98" s="6"/>
      <c r="S98" s="7">
        <f>30856+12708+4204</f>
        <v>47768</v>
      </c>
      <c r="T98" s="6"/>
      <c r="U98" s="286">
        <f t="shared" ref="U98:U109" si="19">+S98/K98</f>
        <v>8.0109343686324497E-2</v>
      </c>
      <c r="W98">
        <f t="shared" ref="W98:W194" si="20">+W97+1</f>
        <v>88</v>
      </c>
      <c r="Y98" s="56"/>
    </row>
    <row r="99" spans="3:25" x14ac:dyDescent="0.3">
      <c r="C99" s="170">
        <f t="shared" si="15"/>
        <v>43998</v>
      </c>
      <c r="E99" s="284">
        <v>384475</v>
      </c>
      <c r="F99" s="7"/>
      <c r="G99" s="7">
        <v>167426</v>
      </c>
      <c r="H99" s="7"/>
      <c r="I99" s="7">
        <v>45349</v>
      </c>
      <c r="J99" s="287"/>
      <c r="K99" s="7">
        <f t="shared" si="16"/>
        <v>597250</v>
      </c>
      <c r="L99" s="6"/>
      <c r="M99" s="474">
        <f t="shared" si="17"/>
        <v>1.6183536396186388E-3</v>
      </c>
      <c r="N99" s="29"/>
      <c r="O99" s="29"/>
      <c r="P99" s="29"/>
      <c r="Q99" s="375">
        <f t="shared" si="18"/>
        <v>965</v>
      </c>
      <c r="R99" s="6"/>
      <c r="S99" s="7">
        <f>30882+12792+4210</f>
        <v>47884</v>
      </c>
      <c r="T99" s="6"/>
      <c r="U99" s="286">
        <f t="shared" si="19"/>
        <v>8.017413143574717E-2</v>
      </c>
      <c r="W99">
        <f t="shared" si="20"/>
        <v>89</v>
      </c>
      <c r="Y99" s="56"/>
    </row>
    <row r="100" spans="3:25" x14ac:dyDescent="0.3">
      <c r="C100" s="170">
        <f t="shared" si="15"/>
        <v>43999</v>
      </c>
      <c r="E100" s="284">
        <v>385042</v>
      </c>
      <c r="F100" s="7"/>
      <c r="G100" s="7">
        <v>167703</v>
      </c>
      <c r="H100" s="7"/>
      <c r="I100" s="7">
        <v>45429</v>
      </c>
      <c r="J100" s="287"/>
      <c r="K100" s="7">
        <f t="shared" si="16"/>
        <v>598174</v>
      </c>
      <c r="L100" s="6"/>
      <c r="M100" s="474">
        <f t="shared" si="17"/>
        <v>1.5470908329845124E-3</v>
      </c>
      <c r="N100" s="29"/>
      <c r="O100" s="29"/>
      <c r="P100" s="29"/>
      <c r="Q100" s="375">
        <f t="shared" si="18"/>
        <v>924</v>
      </c>
      <c r="R100" s="6"/>
      <c r="S100" s="7">
        <f>30939+12835+4219</f>
        <v>47993</v>
      </c>
      <c r="T100" s="6"/>
      <c r="U100" s="286">
        <f t="shared" si="19"/>
        <v>8.0232507598123629E-2</v>
      </c>
      <c r="W100">
        <f t="shared" si="20"/>
        <v>90</v>
      </c>
      <c r="Y100" s="56"/>
    </row>
    <row r="101" spans="3:25" x14ac:dyDescent="0.3">
      <c r="C101" s="170">
        <f t="shared" si="15"/>
        <v>44000</v>
      </c>
      <c r="E101" s="284">
        <v>385560</v>
      </c>
      <c r="F101" s="7"/>
      <c r="G101" s="7">
        <v>168067</v>
      </c>
      <c r="H101" s="7"/>
      <c r="I101" s="7">
        <v>45440</v>
      </c>
      <c r="J101" s="287"/>
      <c r="K101" s="7">
        <f t="shared" si="16"/>
        <v>599067</v>
      </c>
      <c r="L101" s="6"/>
      <c r="M101" s="474">
        <f t="shared" si="17"/>
        <v>1.4928766546188901E-3</v>
      </c>
      <c r="N101" s="29"/>
      <c r="O101" s="29"/>
      <c r="P101" s="29"/>
      <c r="Q101" s="375">
        <f t="shared" si="18"/>
        <v>893</v>
      </c>
      <c r="R101" s="6"/>
      <c r="S101" s="7">
        <f>30974+12869+4226</f>
        <v>48069</v>
      </c>
      <c r="T101" s="6"/>
      <c r="U101" s="286">
        <f t="shared" si="19"/>
        <v>8.0239772846776733E-2</v>
      </c>
      <c r="W101">
        <f t="shared" si="20"/>
        <v>91</v>
      </c>
      <c r="Y101" s="56"/>
    </row>
    <row r="102" spans="3:25" x14ac:dyDescent="0.3">
      <c r="C102" s="170">
        <f t="shared" si="15"/>
        <v>44001</v>
      </c>
      <c r="E102" s="284">
        <v>386556</v>
      </c>
      <c r="F102" s="7"/>
      <c r="G102" s="7">
        <v>168496</v>
      </c>
      <c r="H102" s="7"/>
      <c r="I102" s="7">
        <v>45557</v>
      </c>
      <c r="J102" s="287"/>
      <c r="K102" s="7">
        <f t="shared" si="16"/>
        <v>600609</v>
      </c>
      <c r="L102" s="6"/>
      <c r="M102" s="474">
        <f t="shared" si="17"/>
        <v>2.5740025740025739E-3</v>
      </c>
      <c r="N102" s="29"/>
      <c r="O102" s="29"/>
      <c r="P102" s="29"/>
      <c r="Q102" s="375">
        <f t="shared" si="18"/>
        <v>1542</v>
      </c>
      <c r="R102" s="6"/>
      <c r="S102" s="7">
        <f>31015+12902+4238</f>
        <v>48155</v>
      </c>
      <c r="T102" s="6"/>
      <c r="U102" s="286">
        <f t="shared" si="19"/>
        <v>8.0176953725302147E-2</v>
      </c>
      <c r="W102">
        <f t="shared" si="20"/>
        <v>92</v>
      </c>
      <c r="Y102" s="56"/>
    </row>
    <row r="103" spans="3:25" x14ac:dyDescent="0.3">
      <c r="C103" s="170">
        <f t="shared" si="15"/>
        <v>44002</v>
      </c>
      <c r="E103" s="284">
        <v>387272</v>
      </c>
      <c r="F103" s="7"/>
      <c r="G103" s="7">
        <v>168834</v>
      </c>
      <c r="H103" s="7"/>
      <c r="I103" s="7">
        <v>45715</v>
      </c>
      <c r="J103" s="287"/>
      <c r="K103" s="7">
        <f t="shared" si="16"/>
        <v>601821</v>
      </c>
      <c r="L103" s="6"/>
      <c r="M103" s="474">
        <f t="shared" si="17"/>
        <v>2.0179517789443713E-3</v>
      </c>
      <c r="N103" s="29"/>
      <c r="O103" s="29"/>
      <c r="P103" s="29"/>
      <c r="Q103" s="375">
        <f t="shared" si="18"/>
        <v>1212</v>
      </c>
      <c r="R103" s="6"/>
      <c r="S103" s="7">
        <f>31083+12924+4251</f>
        <v>48258</v>
      </c>
      <c r="T103" s="6"/>
      <c r="U103" s="286">
        <f t="shared" si="19"/>
        <v>8.0186633567123786E-2</v>
      </c>
      <c r="W103">
        <f t="shared" si="20"/>
        <v>93</v>
      </c>
      <c r="Y103" s="56"/>
    </row>
    <row r="104" spans="3:25" x14ac:dyDescent="0.3">
      <c r="C104" s="170">
        <f t="shared" si="15"/>
        <v>44003</v>
      </c>
      <c r="E104" s="284">
        <v>387936</v>
      </c>
      <c r="F104" s="7"/>
      <c r="G104" s="7">
        <v>169142</v>
      </c>
      <c r="H104" s="7"/>
      <c r="I104" s="7">
        <v>45755</v>
      </c>
      <c r="J104" s="287"/>
      <c r="K104" s="7">
        <f t="shared" si="16"/>
        <v>602833</v>
      </c>
      <c r="L104" s="6"/>
      <c r="M104" s="474">
        <f t="shared" si="17"/>
        <v>1.6815631225896072E-3</v>
      </c>
      <c r="N104" s="29"/>
      <c r="O104" s="29"/>
      <c r="P104" s="29"/>
      <c r="Q104" s="375">
        <f t="shared" si="18"/>
        <v>1012</v>
      </c>
      <c r="R104" s="6"/>
      <c r="S104" s="7">
        <f>31083+12924+4251</f>
        <v>48258</v>
      </c>
      <c r="T104" s="6"/>
      <c r="U104" s="286">
        <f t="shared" si="19"/>
        <v>8.0052021040653051E-2</v>
      </c>
      <c r="W104">
        <f t="shared" si="20"/>
        <v>94</v>
      </c>
      <c r="Y104" s="56"/>
    </row>
    <row r="105" spans="3:25" x14ac:dyDescent="0.3">
      <c r="C105" s="170">
        <f t="shared" si="15"/>
        <v>44004</v>
      </c>
      <c r="E105" s="284">
        <v>388488</v>
      </c>
      <c r="F105" s="7"/>
      <c r="G105" s="7">
        <v>169415</v>
      </c>
      <c r="H105" s="7"/>
      <c r="I105" s="7">
        <v>45782</v>
      </c>
      <c r="J105" s="287"/>
      <c r="K105" s="7">
        <f t="shared" si="16"/>
        <v>603685</v>
      </c>
      <c r="L105" s="6"/>
      <c r="M105" s="474">
        <f t="shared" si="17"/>
        <v>1.4133267422320941E-3</v>
      </c>
      <c r="N105" s="29"/>
      <c r="O105" s="29"/>
      <c r="P105" s="29"/>
      <c r="Q105" s="375">
        <f t="shared" si="18"/>
        <v>852</v>
      </c>
      <c r="R105" s="6"/>
      <c r="S105" s="7">
        <f>31125+12939+4260</f>
        <v>48324</v>
      </c>
      <c r="T105" s="6"/>
      <c r="U105" s="286">
        <f t="shared" si="19"/>
        <v>8.0048369596726773E-2</v>
      </c>
      <c r="W105">
        <f t="shared" si="20"/>
        <v>95</v>
      </c>
      <c r="Y105" s="56"/>
    </row>
    <row r="106" spans="3:25" x14ac:dyDescent="0.3">
      <c r="C106" s="170">
        <f t="shared" si="15"/>
        <v>44005</v>
      </c>
      <c r="E106" s="284">
        <v>389085</v>
      </c>
      <c r="F106" s="7"/>
      <c r="G106" s="7">
        <v>169734</v>
      </c>
      <c r="H106" s="7"/>
      <c r="I106" s="7">
        <v>45899</v>
      </c>
      <c r="J106" s="287"/>
      <c r="K106" s="7">
        <f t="shared" si="16"/>
        <v>604718</v>
      </c>
      <c r="L106" s="6"/>
      <c r="M106" s="474">
        <f t="shared" si="17"/>
        <v>1.7111573088614096E-3</v>
      </c>
      <c r="N106" s="29"/>
      <c r="O106" s="29"/>
      <c r="P106" s="29"/>
      <c r="Q106" s="375">
        <f t="shared" si="18"/>
        <v>1033</v>
      </c>
      <c r="R106" s="6"/>
      <c r="S106" s="7">
        <f>31232+13025+4277</f>
        <v>48534</v>
      </c>
      <c r="T106" s="6"/>
      <c r="U106" s="286">
        <f t="shared" si="19"/>
        <v>8.025889753571086E-2</v>
      </c>
      <c r="W106">
        <f t="shared" si="20"/>
        <v>96</v>
      </c>
      <c r="Y106" s="56"/>
    </row>
    <row r="107" spans="3:25" x14ac:dyDescent="0.3">
      <c r="C107" s="170">
        <f t="shared" si="15"/>
        <v>44006</v>
      </c>
      <c r="E107" s="284">
        <v>389666</v>
      </c>
      <c r="F107" s="7"/>
      <c r="G107" s="7">
        <v>169892</v>
      </c>
      <c r="H107" s="7"/>
      <c r="I107" s="7">
        <v>45913</v>
      </c>
      <c r="J107" s="287"/>
      <c r="K107" s="7">
        <f t="shared" si="16"/>
        <v>605471</v>
      </c>
      <c r="L107" s="6"/>
      <c r="M107" s="474">
        <f t="shared" si="17"/>
        <v>1.2452085104131183E-3</v>
      </c>
      <c r="N107" s="29"/>
      <c r="O107" s="29"/>
      <c r="P107" s="29"/>
      <c r="Q107" s="375">
        <f t="shared" si="18"/>
        <v>753</v>
      </c>
      <c r="R107" s="6"/>
      <c r="S107" s="7">
        <f>31257+13076+4287</f>
        <v>48620</v>
      </c>
      <c r="T107" s="6"/>
      <c r="U107" s="286">
        <f t="shared" si="19"/>
        <v>8.0301120945511839E-2</v>
      </c>
      <c r="W107">
        <f t="shared" si="20"/>
        <v>97</v>
      </c>
      <c r="Y107" s="56"/>
    </row>
    <row r="108" spans="3:25" x14ac:dyDescent="0.3">
      <c r="C108" s="170">
        <f t="shared" si="15"/>
        <v>44007</v>
      </c>
      <c r="E108" s="284">
        <v>390415</v>
      </c>
      <c r="F108" s="7"/>
      <c r="G108" s="7">
        <v>170186</v>
      </c>
      <c r="H108" s="7"/>
      <c r="I108" s="7">
        <v>45994</v>
      </c>
      <c r="J108" s="287"/>
      <c r="K108" s="7">
        <f t="shared" si="16"/>
        <v>606595</v>
      </c>
      <c r="L108" s="6"/>
      <c r="M108" s="474">
        <f t="shared" si="17"/>
        <v>1.8564060045815573E-3</v>
      </c>
      <c r="N108" s="29"/>
      <c r="O108" s="29"/>
      <c r="P108" s="29"/>
      <c r="Q108" s="375">
        <f t="shared" si="18"/>
        <v>1124</v>
      </c>
      <c r="R108" s="6"/>
      <c r="S108" s="7">
        <f>31301+14872+4208</f>
        <v>50381</v>
      </c>
      <c r="T108" s="6"/>
      <c r="U108" s="286">
        <f t="shared" si="19"/>
        <v>8.30554158870416E-2</v>
      </c>
      <c r="W108">
        <f t="shared" si="20"/>
        <v>98</v>
      </c>
      <c r="Y108" s="56"/>
    </row>
    <row r="109" spans="3:25" x14ac:dyDescent="0.3">
      <c r="C109" s="170">
        <f t="shared" si="15"/>
        <v>44008</v>
      </c>
      <c r="E109" s="284">
        <v>391220</v>
      </c>
      <c r="F109" s="7"/>
      <c r="G109" s="7">
        <v>170584</v>
      </c>
      <c r="H109" s="7"/>
      <c r="I109" s="7">
        <v>46059</v>
      </c>
      <c r="J109" s="287"/>
      <c r="K109" s="7">
        <f t="shared" si="16"/>
        <v>607863</v>
      </c>
      <c r="L109" s="6"/>
      <c r="M109" s="474">
        <f t="shared" si="17"/>
        <v>2.0903568278670282E-3</v>
      </c>
      <c r="N109" s="29"/>
      <c r="O109" s="29"/>
      <c r="P109" s="29"/>
      <c r="Q109" s="375">
        <f t="shared" si="18"/>
        <v>1268</v>
      </c>
      <c r="R109" s="6"/>
      <c r="S109" s="7">
        <f>31342+14915+4307</f>
        <v>50564</v>
      </c>
      <c r="T109" s="6"/>
      <c r="U109" s="286">
        <f t="shared" si="19"/>
        <v>8.3183217270996923E-2</v>
      </c>
      <c r="W109">
        <f t="shared" si="20"/>
        <v>99</v>
      </c>
      <c r="Y109" s="56"/>
    </row>
    <row r="110" spans="3:25" x14ac:dyDescent="0.3">
      <c r="C110" s="170">
        <f t="shared" si="15"/>
        <v>44009</v>
      </c>
      <c r="E110" s="284">
        <v>391323</v>
      </c>
      <c r="F110" s="7"/>
      <c r="G110" s="7">
        <v>170873</v>
      </c>
      <c r="H110" s="7"/>
      <c r="I110" s="7">
        <v>46206</v>
      </c>
      <c r="J110" s="287"/>
      <c r="K110" s="7">
        <f t="shared" ref="K110:K127" si="21">SUM(E110:I110)</f>
        <v>608402</v>
      </c>
      <c r="L110" s="6"/>
      <c r="M110" s="474">
        <f t="shared" ref="M110:M127" si="22">+(K110-K109)/K109</f>
        <v>8.8671295999262988E-4</v>
      </c>
      <c r="N110" s="29"/>
      <c r="O110" s="29"/>
      <c r="P110" s="29"/>
      <c r="Q110" s="375">
        <f t="shared" ref="Q110:Q127" si="23">+K110-K109</f>
        <v>539</v>
      </c>
      <c r="R110" s="6"/>
      <c r="S110" s="7">
        <f>31368+14984+4311</f>
        <v>50663</v>
      </c>
      <c r="T110" s="6"/>
      <c r="U110" s="286">
        <f t="shared" ref="U110:U127" si="24">+S110/K110</f>
        <v>8.3272244338447279E-2</v>
      </c>
      <c r="W110">
        <f t="shared" si="20"/>
        <v>100</v>
      </c>
      <c r="Y110" s="56"/>
    </row>
    <row r="111" spans="3:25" x14ac:dyDescent="0.3">
      <c r="C111" s="170">
        <f t="shared" si="15"/>
        <v>44010</v>
      </c>
      <c r="E111" s="284">
        <v>392539</v>
      </c>
      <c r="F111" s="7"/>
      <c r="G111" s="7">
        <v>171182</v>
      </c>
      <c r="H111" s="7"/>
      <c r="I111" s="7">
        <v>46303</v>
      </c>
      <c r="J111" s="287"/>
      <c r="K111" s="7">
        <f t="shared" si="21"/>
        <v>610024</v>
      </c>
      <c r="L111" s="6"/>
      <c r="M111" s="481">
        <f t="shared" si="22"/>
        <v>2.6660004404982234E-3</v>
      </c>
      <c r="N111" s="29"/>
      <c r="O111" s="29"/>
      <c r="P111" s="29"/>
      <c r="Q111" s="375">
        <f t="shared" si="23"/>
        <v>1622</v>
      </c>
      <c r="R111" s="6"/>
      <c r="S111" s="7">
        <f>31397+14975+4316</f>
        <v>50688</v>
      </c>
      <c r="T111" s="6"/>
      <c r="U111" s="286">
        <f t="shared" si="24"/>
        <v>8.3091812781136476E-2</v>
      </c>
      <c r="W111">
        <f t="shared" si="20"/>
        <v>101</v>
      </c>
      <c r="Y111" s="56"/>
    </row>
    <row r="112" spans="3:25" x14ac:dyDescent="0.3">
      <c r="C112" s="170">
        <f t="shared" si="15"/>
        <v>44011</v>
      </c>
      <c r="E112" s="284">
        <v>393069</v>
      </c>
      <c r="F112" s="7"/>
      <c r="G112" s="7">
        <v>171272</v>
      </c>
      <c r="H112" s="7"/>
      <c r="I112" s="7">
        <v>46362</v>
      </c>
      <c r="J112" s="287"/>
      <c r="K112" s="7">
        <f t="shared" si="21"/>
        <v>610703</v>
      </c>
      <c r="L112" s="6"/>
      <c r="M112" s="481">
        <f t="shared" si="22"/>
        <v>1.1130709611425124E-3</v>
      </c>
      <c r="N112" s="29"/>
      <c r="O112" s="29"/>
      <c r="P112" s="29"/>
      <c r="Q112" s="375">
        <f t="shared" si="23"/>
        <v>679</v>
      </c>
      <c r="R112" s="6"/>
      <c r="S112" s="7">
        <f>31403+14992+4320</f>
        <v>50715</v>
      </c>
      <c r="T112" s="6"/>
      <c r="U112" s="286">
        <f t="shared" si="24"/>
        <v>8.3043639870771888E-2</v>
      </c>
      <c r="W112">
        <f t="shared" si="20"/>
        <v>102</v>
      </c>
      <c r="Y112" s="56"/>
    </row>
    <row r="113" spans="3:25" x14ac:dyDescent="0.3">
      <c r="C113" s="170">
        <f t="shared" si="15"/>
        <v>44012</v>
      </c>
      <c r="E113" s="284">
        <v>393254</v>
      </c>
      <c r="F113" s="7"/>
      <c r="G113" s="7">
        <v>171617</v>
      </c>
      <c r="H113" s="7"/>
      <c r="I113" s="7">
        <v>46474</v>
      </c>
      <c r="J113" s="287"/>
      <c r="K113" s="7">
        <f t="shared" si="21"/>
        <v>611345</v>
      </c>
      <c r="L113" s="6"/>
      <c r="M113" s="481">
        <f t="shared" si="22"/>
        <v>1.0512474967373667E-3</v>
      </c>
      <c r="N113" s="29"/>
      <c r="O113" s="29"/>
      <c r="P113" s="29"/>
      <c r="Q113" s="375">
        <f t="shared" si="23"/>
        <v>642</v>
      </c>
      <c r="R113" s="6"/>
      <c r="S113" s="7">
        <f>32032+15035+4322</f>
        <v>51389</v>
      </c>
      <c r="T113" s="6"/>
      <c r="U113" s="286">
        <f t="shared" si="24"/>
        <v>8.4058919268170995E-2</v>
      </c>
      <c r="W113">
        <f t="shared" si="20"/>
        <v>103</v>
      </c>
      <c r="Y113" s="56"/>
    </row>
    <row r="114" spans="3:25" x14ac:dyDescent="0.3">
      <c r="C114" s="170">
        <f t="shared" si="15"/>
        <v>44013</v>
      </c>
      <c r="E114" s="284">
        <v>394079</v>
      </c>
      <c r="F114" s="7"/>
      <c r="G114" s="7">
        <v>171928</v>
      </c>
      <c r="H114" s="7"/>
      <c r="I114" s="7">
        <v>46572</v>
      </c>
      <c r="J114" s="287"/>
      <c r="K114" s="7">
        <f t="shared" si="21"/>
        <v>612579</v>
      </c>
      <c r="L114" s="6"/>
      <c r="M114" s="481">
        <f t="shared" si="22"/>
        <v>2.0185001921991675E-3</v>
      </c>
      <c r="N114" s="29"/>
      <c r="O114" s="29"/>
      <c r="P114" s="29"/>
      <c r="Q114" s="375">
        <f t="shared" si="23"/>
        <v>1234</v>
      </c>
      <c r="R114" s="6"/>
      <c r="S114" s="7">
        <f>32043+15078+4324</f>
        <v>51445</v>
      </c>
      <c r="T114" s="6"/>
      <c r="U114" s="286">
        <f t="shared" si="24"/>
        <v>8.3981004898959974E-2</v>
      </c>
      <c r="W114">
        <f t="shared" si="20"/>
        <v>104</v>
      </c>
      <c r="Y114" s="56"/>
    </row>
    <row r="115" spans="3:25" x14ac:dyDescent="0.3">
      <c r="C115" s="170">
        <f t="shared" si="15"/>
        <v>44014</v>
      </c>
      <c r="E115" s="284">
        <v>394954</v>
      </c>
      <c r="F115" s="7"/>
      <c r="G115" s="7">
        <v>172356</v>
      </c>
      <c r="H115" s="7"/>
      <c r="I115" s="7">
        <v>46646</v>
      </c>
      <c r="J115" s="287"/>
      <c r="K115" s="7">
        <f t="shared" si="21"/>
        <v>613956</v>
      </c>
      <c r="L115" s="6"/>
      <c r="M115" s="481">
        <f t="shared" si="22"/>
        <v>2.2478733355208065E-3</v>
      </c>
      <c r="N115" s="29"/>
      <c r="O115" s="29"/>
      <c r="P115" s="29"/>
      <c r="Q115" s="375">
        <f t="shared" si="23"/>
        <v>1377</v>
      </c>
      <c r="R115" s="6"/>
      <c r="S115" s="7">
        <f>32064+15107+4328</f>
        <v>51499</v>
      </c>
      <c r="T115" s="6"/>
      <c r="U115" s="286">
        <f t="shared" si="24"/>
        <v>8.3880603821772245E-2</v>
      </c>
      <c r="W115">
        <f t="shared" si="20"/>
        <v>105</v>
      </c>
      <c r="Y115" s="56"/>
    </row>
    <row r="116" spans="3:25" x14ac:dyDescent="0.3">
      <c r="C116" s="170">
        <f t="shared" si="15"/>
        <v>44015</v>
      </c>
      <c r="E116" s="284">
        <v>395872</v>
      </c>
      <c r="F116" s="7"/>
      <c r="G116" s="7">
        <v>172742</v>
      </c>
      <c r="H116" s="7"/>
      <c r="I116" s="7">
        <v>46717</v>
      </c>
      <c r="J116" s="287"/>
      <c r="K116" s="7">
        <f t="shared" si="21"/>
        <v>615331</v>
      </c>
      <c r="L116" s="6"/>
      <c r="M116" s="481">
        <f t="shared" si="22"/>
        <v>2.2395741714389956E-3</v>
      </c>
      <c r="N116" s="29"/>
      <c r="O116" s="29"/>
      <c r="P116" s="29"/>
      <c r="Q116" s="375">
        <f t="shared" si="23"/>
        <v>1375</v>
      </c>
      <c r="R116" s="6"/>
      <c r="S116" s="7">
        <f>32081+15164+4335</f>
        <v>51580</v>
      </c>
      <c r="T116" s="6"/>
      <c r="U116" s="286">
        <f t="shared" si="24"/>
        <v>8.3824803235981932E-2</v>
      </c>
      <c r="W116">
        <f t="shared" si="20"/>
        <v>106</v>
      </c>
      <c r="Y116" s="56"/>
    </row>
    <row r="117" spans="3:25" x14ac:dyDescent="0.3">
      <c r="C117" s="170">
        <f t="shared" si="15"/>
        <v>44016</v>
      </c>
      <c r="E117" s="284">
        <v>395598</v>
      </c>
      <c r="F117" s="7"/>
      <c r="G117" s="7">
        <v>173033</v>
      </c>
      <c r="H117" s="7"/>
      <c r="I117" s="7">
        <v>46717</v>
      </c>
      <c r="J117" s="287"/>
      <c r="K117" s="7">
        <f t="shared" si="21"/>
        <v>615348</v>
      </c>
      <c r="L117" s="6"/>
      <c r="M117" s="481">
        <f t="shared" si="22"/>
        <v>2.7627407037838173E-5</v>
      </c>
      <c r="N117" s="29"/>
      <c r="O117" s="29"/>
      <c r="P117" s="29"/>
      <c r="Q117" s="375">
        <f t="shared" si="23"/>
        <v>17</v>
      </c>
      <c r="R117" s="6"/>
      <c r="S117" s="7">
        <f>32157+15189+4355</f>
        <v>51701</v>
      </c>
      <c r="T117" s="6"/>
      <c r="U117" s="286">
        <f t="shared" si="24"/>
        <v>8.4019124137886203E-2</v>
      </c>
      <c r="W117">
        <f t="shared" si="20"/>
        <v>107</v>
      </c>
      <c r="Y117" s="56"/>
    </row>
    <row r="118" spans="3:25" x14ac:dyDescent="0.3">
      <c r="C118" s="170">
        <f t="shared" si="15"/>
        <v>44017</v>
      </c>
      <c r="E118" s="284">
        <v>397131</v>
      </c>
      <c r="F118" s="7"/>
      <c r="G118" s="7">
        <v>173402</v>
      </c>
      <c r="H118" s="7"/>
      <c r="I118" s="7">
        <v>46717</v>
      </c>
      <c r="J118" s="287"/>
      <c r="K118" s="7">
        <f t="shared" si="21"/>
        <v>617250</v>
      </c>
      <c r="L118" s="6"/>
      <c r="M118" s="481">
        <f t="shared" si="22"/>
        <v>3.0909339105676787E-3</v>
      </c>
      <c r="N118" s="29"/>
      <c r="O118" s="29"/>
      <c r="P118" s="29"/>
      <c r="Q118" s="375">
        <f t="shared" si="23"/>
        <v>1902</v>
      </c>
      <c r="R118" s="6"/>
      <c r="S118" s="7">
        <f>32189+15211+4335</f>
        <v>51735</v>
      </c>
      <c r="T118" s="6"/>
      <c r="U118" s="286">
        <f t="shared" si="24"/>
        <v>8.3815309842041316E-2</v>
      </c>
      <c r="W118">
        <f t="shared" si="20"/>
        <v>108</v>
      </c>
      <c r="Y118" s="56"/>
    </row>
    <row r="119" spans="3:25" x14ac:dyDescent="0.3">
      <c r="C119" s="170">
        <f t="shared" si="15"/>
        <v>44018</v>
      </c>
      <c r="E119" s="284">
        <v>397649</v>
      </c>
      <c r="F119" s="7"/>
      <c r="G119" s="7">
        <v>173611</v>
      </c>
      <c r="H119" s="7"/>
      <c r="I119" s="7">
        <v>46976</v>
      </c>
      <c r="J119" s="287"/>
      <c r="K119" s="7">
        <f t="shared" si="21"/>
        <v>618236</v>
      </c>
      <c r="L119" s="6"/>
      <c r="M119" s="481">
        <f t="shared" si="22"/>
        <v>1.5974078574321588E-3</v>
      </c>
      <c r="N119" s="29"/>
      <c r="O119" s="29"/>
      <c r="P119" s="29"/>
      <c r="Q119" s="375">
        <f t="shared" si="23"/>
        <v>986</v>
      </c>
      <c r="R119" s="6"/>
      <c r="S119" s="7">
        <f>32219+15229+4388</f>
        <v>51836</v>
      </c>
      <c r="T119" s="6"/>
      <c r="U119" s="286">
        <f t="shared" si="24"/>
        <v>8.3845004173163651E-2</v>
      </c>
      <c r="W119">
        <f t="shared" si="20"/>
        <v>109</v>
      </c>
      <c r="Y119" s="56"/>
    </row>
    <row r="120" spans="3:25" x14ac:dyDescent="0.3">
      <c r="C120" s="170">
        <f t="shared" si="15"/>
        <v>44019</v>
      </c>
      <c r="E120" s="284">
        <v>398237</v>
      </c>
      <c r="F120" s="7"/>
      <c r="G120" s="7">
        <v>173878</v>
      </c>
      <c r="H120" s="7"/>
      <c r="I120" s="7">
        <v>47033</v>
      </c>
      <c r="J120" s="287"/>
      <c r="K120" s="7">
        <f t="shared" si="21"/>
        <v>619148</v>
      </c>
      <c r="L120" s="6"/>
      <c r="M120" s="481">
        <f t="shared" si="22"/>
        <v>1.4751648237889738E-3</v>
      </c>
      <c r="N120" s="29"/>
      <c r="O120" s="29"/>
      <c r="P120" s="29"/>
      <c r="Q120" s="375">
        <f t="shared" si="23"/>
        <v>912</v>
      </c>
      <c r="R120" s="6"/>
      <c r="S120" s="7">
        <f>32243+15281+4338</f>
        <v>51862</v>
      </c>
      <c r="T120" s="6"/>
      <c r="U120" s="286">
        <f t="shared" si="24"/>
        <v>8.3763494350300741E-2</v>
      </c>
      <c r="W120">
        <f t="shared" si="20"/>
        <v>110</v>
      </c>
      <c r="Y120" s="56"/>
    </row>
    <row r="121" spans="3:25" x14ac:dyDescent="0.3">
      <c r="C121" s="170">
        <f t="shared" si="15"/>
        <v>44020</v>
      </c>
      <c r="E121" s="284">
        <f>398909</f>
        <v>398909</v>
      </c>
      <c r="F121" s="7"/>
      <c r="G121" s="7">
        <v>174039</v>
      </c>
      <c r="H121" s="7"/>
      <c r="I121" s="7">
        <v>47108</v>
      </c>
      <c r="J121" s="287"/>
      <c r="K121" s="7">
        <f t="shared" si="21"/>
        <v>620056</v>
      </c>
      <c r="L121" s="6"/>
      <c r="M121" s="481">
        <f t="shared" si="22"/>
        <v>1.4665314270578278E-3</v>
      </c>
      <c r="N121" s="29"/>
      <c r="O121" s="29"/>
      <c r="P121" s="29"/>
      <c r="Q121" s="375">
        <f t="shared" si="23"/>
        <v>908</v>
      </c>
      <c r="R121" s="6"/>
      <c r="S121" s="7">
        <f>32251+15332+4343</f>
        <v>51926</v>
      </c>
      <c r="T121" s="6"/>
      <c r="U121" s="286">
        <f t="shared" si="24"/>
        <v>8.3744048924613262E-2</v>
      </c>
      <c r="W121">
        <f t="shared" si="20"/>
        <v>111</v>
      </c>
      <c r="Y121" s="56"/>
    </row>
    <row r="122" spans="3:25" x14ac:dyDescent="0.3">
      <c r="C122" s="170">
        <f t="shared" si="15"/>
        <v>44021</v>
      </c>
      <c r="E122" s="284">
        <v>399477</v>
      </c>
      <c r="F122" s="7"/>
      <c r="G122" s="7">
        <v>174270</v>
      </c>
      <c r="H122" s="7"/>
      <c r="I122" s="7">
        <v>47209</v>
      </c>
      <c r="J122" s="287"/>
      <c r="K122" s="7">
        <f t="shared" si="21"/>
        <v>620956</v>
      </c>
      <c r="L122" s="6"/>
      <c r="M122" s="481">
        <f t="shared" si="22"/>
        <v>1.4514818016437224E-3</v>
      </c>
      <c r="N122" s="29"/>
      <c r="O122" s="29"/>
      <c r="P122" s="29"/>
      <c r="Q122" s="375">
        <f t="shared" si="23"/>
        <v>900</v>
      </c>
      <c r="R122" s="6"/>
      <c r="S122" s="7">
        <f>32283+15448+4348</f>
        <v>52079</v>
      </c>
      <c r="T122" s="6"/>
      <c r="U122" s="286">
        <f t="shared" si="24"/>
        <v>8.3869066407281673E-2</v>
      </c>
      <c r="W122">
        <f t="shared" si="20"/>
        <v>112</v>
      </c>
      <c r="Y122" s="56"/>
    </row>
    <row r="123" spans="3:25" x14ac:dyDescent="0.3">
      <c r="C123" s="170">
        <f t="shared" si="15"/>
        <v>44022</v>
      </c>
      <c r="E123" s="284">
        <v>400299</v>
      </c>
      <c r="F123" s="7"/>
      <c r="G123" s="7">
        <v>174628</v>
      </c>
      <c r="H123" s="7"/>
      <c r="I123" s="7">
        <v>47287</v>
      </c>
      <c r="J123" s="287"/>
      <c r="K123" s="7">
        <f t="shared" si="21"/>
        <v>622214</v>
      </c>
      <c r="L123" s="6"/>
      <c r="M123" s="481">
        <f t="shared" si="22"/>
        <v>2.0259084379569566E-3</v>
      </c>
      <c r="N123" s="29"/>
      <c r="O123" s="29"/>
      <c r="P123" s="29"/>
      <c r="Q123" s="375">
        <f t="shared" si="23"/>
        <v>1258</v>
      </c>
      <c r="R123" s="6"/>
      <c r="S123" s="7">
        <f>32307+15479+4348</f>
        <v>52134</v>
      </c>
      <c r="T123" s="6"/>
      <c r="U123" s="286">
        <f t="shared" si="24"/>
        <v>8.378789291144205E-2</v>
      </c>
      <c r="W123">
        <f t="shared" si="20"/>
        <v>113</v>
      </c>
      <c r="Y123" s="56"/>
    </row>
    <row r="124" spans="3:25" x14ac:dyDescent="0.3">
      <c r="C124" s="170">
        <f t="shared" si="15"/>
        <v>44023</v>
      </c>
      <c r="E124" s="284">
        <v>401029</v>
      </c>
      <c r="F124" s="7"/>
      <c r="G124" s="7">
        <v>174959</v>
      </c>
      <c r="H124" s="7"/>
      <c r="I124" s="7">
        <v>47237</v>
      </c>
      <c r="J124" s="287"/>
      <c r="K124" s="7">
        <f t="shared" si="21"/>
        <v>623225</v>
      </c>
      <c r="L124" s="6"/>
      <c r="M124" s="481">
        <f t="shared" si="22"/>
        <v>1.6248428997097462E-3</v>
      </c>
      <c r="N124" s="29"/>
      <c r="O124" s="29"/>
      <c r="P124" s="29"/>
      <c r="Q124" s="375">
        <f t="shared" si="23"/>
        <v>1011</v>
      </c>
      <c r="R124" s="6"/>
      <c r="S124" s="7">
        <f>32343+15525+4348</f>
        <v>52216</v>
      </c>
      <c r="T124" s="6"/>
      <c r="U124" s="286">
        <f t="shared" si="24"/>
        <v>8.3783545268562715E-2</v>
      </c>
      <c r="W124">
        <f t="shared" si="20"/>
        <v>114</v>
      </c>
      <c r="Y124" s="56"/>
    </row>
    <row r="125" spans="3:25" x14ac:dyDescent="0.3">
      <c r="C125" s="170">
        <f t="shared" si="15"/>
        <v>44024</v>
      </c>
      <c r="E125" s="284">
        <v>401556</v>
      </c>
      <c r="F125" s="7"/>
      <c r="G125" s="7">
        <v>175298</v>
      </c>
      <c r="H125" s="7"/>
      <c r="I125" s="7">
        <v>47287</v>
      </c>
      <c r="J125" s="287"/>
      <c r="K125" s="7">
        <f t="shared" si="21"/>
        <v>624141</v>
      </c>
      <c r="L125" s="6"/>
      <c r="M125" s="481">
        <f t="shared" si="22"/>
        <v>1.4697741586104536E-3</v>
      </c>
      <c r="N125" s="29"/>
      <c r="O125" s="29"/>
      <c r="P125" s="29"/>
      <c r="Q125" s="375">
        <f t="shared" si="23"/>
        <v>916</v>
      </c>
      <c r="R125" s="6"/>
      <c r="S125" s="7">
        <f>32350+15525+4348</f>
        <v>52223</v>
      </c>
      <c r="T125" s="6"/>
      <c r="U125" s="286">
        <f t="shared" si="24"/>
        <v>8.3671798519885737E-2</v>
      </c>
      <c r="W125">
        <f t="shared" si="20"/>
        <v>115</v>
      </c>
      <c r="Y125" s="56"/>
    </row>
    <row r="126" spans="3:25" x14ac:dyDescent="0.3">
      <c r="C126" s="170">
        <f t="shared" si="15"/>
        <v>44025</v>
      </c>
      <c r="E126" s="284">
        <v>402263</v>
      </c>
      <c r="F126" s="7"/>
      <c r="G126" s="7">
        <v>175522</v>
      </c>
      <c r="H126" s="7"/>
      <c r="I126" s="7">
        <v>47510</v>
      </c>
      <c r="J126" s="287"/>
      <c r="K126" s="7">
        <f t="shared" si="21"/>
        <v>625295</v>
      </c>
      <c r="L126" s="6"/>
      <c r="M126" s="481">
        <f t="shared" si="22"/>
        <v>1.8489411847643401E-3</v>
      </c>
      <c r="N126" s="29"/>
      <c r="O126" s="29"/>
      <c r="P126" s="29"/>
      <c r="Q126" s="375">
        <f t="shared" si="23"/>
        <v>1154</v>
      </c>
      <c r="R126" s="6"/>
      <c r="S126" s="7">
        <f>32395+15560+4371</f>
        <v>52326</v>
      </c>
      <c r="T126" s="6"/>
      <c r="U126" s="286">
        <f t="shared" si="24"/>
        <v>8.3682102047833426E-2</v>
      </c>
      <c r="W126">
        <f t="shared" si="20"/>
        <v>116</v>
      </c>
      <c r="Y126" s="56"/>
    </row>
    <row r="127" spans="3:25" x14ac:dyDescent="0.3">
      <c r="C127" s="170">
        <f t="shared" si="15"/>
        <v>44026</v>
      </c>
      <c r="E127" s="284">
        <v>403175</v>
      </c>
      <c r="F127" s="7"/>
      <c r="G127" s="7">
        <v>175915</v>
      </c>
      <c r="H127" s="7"/>
      <c r="I127" s="7">
        <v>47531</v>
      </c>
      <c r="J127" s="287"/>
      <c r="K127" s="7">
        <f t="shared" si="21"/>
        <v>626621</v>
      </c>
      <c r="L127" s="6"/>
      <c r="M127" s="481">
        <f t="shared" si="22"/>
        <v>2.1205990772355447E-3</v>
      </c>
      <c r="N127" s="29"/>
      <c r="O127" s="29"/>
      <c r="P127" s="29"/>
      <c r="Q127" s="375">
        <f t="shared" si="23"/>
        <v>1326</v>
      </c>
      <c r="R127" s="6"/>
      <c r="S127" s="7">
        <f>32408+15582+4374</f>
        <v>52364</v>
      </c>
      <c r="T127" s="6"/>
      <c r="U127" s="286">
        <f t="shared" si="24"/>
        <v>8.3565664093606815E-2</v>
      </c>
      <c r="W127">
        <f t="shared" si="20"/>
        <v>117</v>
      </c>
      <c r="Y127" s="56"/>
    </row>
    <row r="128" spans="3:25" x14ac:dyDescent="0.3">
      <c r="C128" s="170">
        <f t="shared" si="15"/>
        <v>44027</v>
      </c>
      <c r="E128" s="284">
        <v>403600</v>
      </c>
      <c r="F128" s="7"/>
      <c r="G128" s="7">
        <v>176110</v>
      </c>
      <c r="H128" s="7"/>
      <c r="I128" s="7">
        <v>47620</v>
      </c>
      <c r="J128" s="287"/>
      <c r="K128" s="7">
        <f>SUM(E128:I128)</f>
        <v>627330</v>
      </c>
      <c r="L128" s="6"/>
      <c r="M128" s="481">
        <f t="shared" ref="M128:M136" si="25">+(K128-K127)/K127</f>
        <v>1.1314654312574906E-3</v>
      </c>
      <c r="N128" s="29"/>
      <c r="O128" s="29"/>
      <c r="P128" s="29"/>
      <c r="Q128" s="375">
        <f t="shared" ref="Q128:Q136" si="26">+K128-K127</f>
        <v>709</v>
      </c>
      <c r="R128" s="6"/>
      <c r="S128" s="7">
        <f>32427+15634+4380</f>
        <v>52441</v>
      </c>
      <c r="T128" s="6"/>
      <c r="U128" s="286">
        <f t="shared" ref="U128:U136" si="27">+S128/K128</f>
        <v>8.3593961710742348E-2</v>
      </c>
      <c r="W128">
        <f t="shared" si="20"/>
        <v>118</v>
      </c>
      <c r="Y128" s="56"/>
    </row>
    <row r="129" spans="3:25" x14ac:dyDescent="0.3">
      <c r="C129" s="170">
        <f t="shared" si="15"/>
        <v>44028</v>
      </c>
      <c r="E129" s="284">
        <v>404775</v>
      </c>
      <c r="F129" s="7"/>
      <c r="G129" s="7">
        <v>176501</v>
      </c>
      <c r="H129" s="7"/>
      <c r="I129" s="7">
        <v>47750</v>
      </c>
      <c r="J129" s="287"/>
      <c r="K129" s="7">
        <f>SUM(E129:I129)</f>
        <v>629026</v>
      </c>
      <c r="L129" s="6"/>
      <c r="M129" s="481">
        <f t="shared" si="25"/>
        <v>2.7035212726953914E-3</v>
      </c>
      <c r="N129" s="29"/>
      <c r="O129" s="29"/>
      <c r="P129" s="29"/>
      <c r="Q129" s="375">
        <f t="shared" si="26"/>
        <v>1696</v>
      </c>
      <c r="R129" s="6"/>
      <c r="S129" s="7">
        <f>32446+15665+4389</f>
        <v>52500</v>
      </c>
      <c r="T129" s="6"/>
      <c r="U129" s="286">
        <f t="shared" si="27"/>
        <v>8.3462368805105033E-2</v>
      </c>
      <c r="W129">
        <f t="shared" si="20"/>
        <v>119</v>
      </c>
      <c r="Y129" s="56"/>
    </row>
    <row r="130" spans="3:25" x14ac:dyDescent="0.3">
      <c r="C130" s="170">
        <f t="shared" si="15"/>
        <v>44029</v>
      </c>
      <c r="E130" s="284">
        <v>405551</v>
      </c>
      <c r="F130" s="7"/>
      <c r="G130" s="7">
        <v>176551</v>
      </c>
      <c r="H130" s="7"/>
      <c r="I130" s="7">
        <v>47893</v>
      </c>
      <c r="J130" s="287"/>
      <c r="K130" s="7">
        <f t="shared" ref="K130:K135" si="28">SUM(E130:I130)</f>
        <v>629995</v>
      </c>
      <c r="L130" s="6"/>
      <c r="M130" s="481">
        <f t="shared" si="25"/>
        <v>1.5404768642313673E-3</v>
      </c>
      <c r="N130" s="29"/>
      <c r="O130" s="29"/>
      <c r="P130" s="29"/>
      <c r="Q130" s="375">
        <f t="shared" si="26"/>
        <v>969</v>
      </c>
      <c r="R130" s="6"/>
      <c r="S130" s="7">
        <v>52728</v>
      </c>
      <c r="T130" s="6"/>
      <c r="U130" s="286">
        <f t="shared" si="27"/>
        <v>8.3695902348431342E-2</v>
      </c>
      <c r="W130">
        <f t="shared" si="20"/>
        <v>120</v>
      </c>
      <c r="Y130" s="56"/>
    </row>
    <row r="131" spans="3:25" x14ac:dyDescent="0.3">
      <c r="C131" s="170">
        <f t="shared" si="15"/>
        <v>44030</v>
      </c>
      <c r="E131" s="284">
        <v>406750</v>
      </c>
      <c r="F131" s="7"/>
      <c r="G131" s="7">
        <v>176703</v>
      </c>
      <c r="H131" s="7"/>
      <c r="I131" s="7">
        <v>47929</v>
      </c>
      <c r="J131" s="287"/>
      <c r="K131" s="7">
        <f t="shared" si="28"/>
        <v>631382</v>
      </c>
      <c r="L131" s="6"/>
      <c r="M131" s="481">
        <f t="shared" si="25"/>
        <v>2.2016047746410685E-3</v>
      </c>
      <c r="N131" s="29"/>
      <c r="O131" s="29"/>
      <c r="P131" s="29"/>
      <c r="Q131" s="375">
        <f t="shared" si="26"/>
        <v>1387</v>
      </c>
      <c r="R131" s="6"/>
      <c r="S131" s="7">
        <v>53361</v>
      </c>
      <c r="T131" s="6"/>
      <c r="U131" s="286">
        <f t="shared" si="27"/>
        <v>8.4514604470827481E-2</v>
      </c>
      <c r="W131">
        <f t="shared" si="20"/>
        <v>121</v>
      </c>
      <c r="Y131" s="56"/>
    </row>
    <row r="132" spans="3:25" x14ac:dyDescent="0.3">
      <c r="C132" s="170">
        <f t="shared" si="15"/>
        <v>44031</v>
      </c>
      <c r="E132" s="284">
        <v>406807</v>
      </c>
      <c r="F132" s="7"/>
      <c r="G132" s="7">
        <v>176783</v>
      </c>
      <c r="H132" s="7"/>
      <c r="I132" s="7">
        <v>47893</v>
      </c>
      <c r="J132" s="287"/>
      <c r="K132" s="7">
        <f t="shared" si="28"/>
        <v>631483</v>
      </c>
      <c r="L132" s="6"/>
      <c r="M132" s="481">
        <f t="shared" si="25"/>
        <v>1.599665495690406E-4</v>
      </c>
      <c r="N132" s="29"/>
      <c r="O132" s="29"/>
      <c r="P132" s="29"/>
      <c r="Q132" s="375">
        <f t="shared" si="26"/>
        <v>101</v>
      </c>
      <c r="R132" s="6"/>
      <c r="S132" s="7">
        <f>32463+16684+4396</f>
        <v>53543</v>
      </c>
      <c r="T132" s="6"/>
      <c r="U132" s="286">
        <f t="shared" si="27"/>
        <v>8.4789297574123138E-2</v>
      </c>
      <c r="W132">
        <f t="shared" si="20"/>
        <v>122</v>
      </c>
      <c r="Y132" s="56"/>
    </row>
    <row r="133" spans="3:25" x14ac:dyDescent="0.3">
      <c r="C133" s="170">
        <f t="shared" si="15"/>
        <v>44032</v>
      </c>
      <c r="E133" s="284">
        <v>407326</v>
      </c>
      <c r="F133" s="7"/>
      <c r="G133" s="7">
        <v>176963</v>
      </c>
      <c r="H133" s="7"/>
      <c r="I133" s="7">
        <v>48055</v>
      </c>
      <c r="J133" s="287"/>
      <c r="K133" s="7">
        <f t="shared" si="28"/>
        <v>632344</v>
      </c>
      <c r="L133" s="6"/>
      <c r="M133" s="481">
        <f t="shared" si="25"/>
        <v>1.3634571318626154E-3</v>
      </c>
      <c r="N133" s="29"/>
      <c r="O133" s="29"/>
      <c r="P133" s="29"/>
      <c r="Q133" s="375">
        <f t="shared" si="26"/>
        <v>861</v>
      </c>
      <c r="R133" s="6"/>
      <c r="S133" s="7">
        <f>32506+15715+4406</f>
        <v>52627</v>
      </c>
      <c r="T133" s="6"/>
      <c r="U133" s="286">
        <f t="shared" si="27"/>
        <v>8.3225269789861209E-2</v>
      </c>
      <c r="W133">
        <f t="shared" si="20"/>
        <v>123</v>
      </c>
      <c r="Y133" s="56"/>
    </row>
    <row r="134" spans="3:25" x14ac:dyDescent="0.3">
      <c r="C134" s="170">
        <f t="shared" si="15"/>
        <v>44033</v>
      </c>
      <c r="E134" s="284">
        <v>407941</v>
      </c>
      <c r="F134" s="7"/>
      <c r="G134" s="7">
        <v>177156</v>
      </c>
      <c r="H134" s="7"/>
      <c r="I134" s="7">
        <v>48096</v>
      </c>
      <c r="J134" s="287"/>
      <c r="K134" s="7">
        <f t="shared" si="28"/>
        <v>633193</v>
      </c>
      <c r="L134" s="6"/>
      <c r="M134" s="481">
        <f t="shared" si="25"/>
        <v>1.3426236352365169E-3</v>
      </c>
      <c r="N134" s="29"/>
      <c r="O134" s="29"/>
      <c r="P134" s="29"/>
      <c r="Q134" s="375">
        <f t="shared" si="26"/>
        <v>849</v>
      </c>
      <c r="R134" s="6"/>
      <c r="S134" s="7">
        <f>32520+15737+4406</f>
        <v>52663</v>
      </c>
      <c r="T134" s="6"/>
      <c r="U134" s="286">
        <f t="shared" si="27"/>
        <v>8.3170534102556412E-2</v>
      </c>
      <c r="W134">
        <f t="shared" si="20"/>
        <v>124</v>
      </c>
      <c r="Y134" s="56"/>
    </row>
    <row r="135" spans="3:25" x14ac:dyDescent="0.3">
      <c r="C135" s="170">
        <f t="shared" si="15"/>
        <v>44034</v>
      </c>
      <c r="E135" s="284">
        <v>408886</v>
      </c>
      <c r="F135" s="7"/>
      <c r="G135" s="7">
        <v>177645</v>
      </c>
      <c r="H135" s="7"/>
      <c r="I135" s="7">
        <v>48223</v>
      </c>
      <c r="J135" s="287"/>
      <c r="K135" s="7">
        <f t="shared" si="28"/>
        <v>634754</v>
      </c>
      <c r="L135" s="6"/>
      <c r="M135" s="481">
        <f t="shared" si="25"/>
        <v>2.465283096938848E-3</v>
      </c>
      <c r="N135" s="29"/>
      <c r="O135" s="29"/>
      <c r="P135" s="29"/>
      <c r="Q135" s="375">
        <f t="shared" si="26"/>
        <v>1561</v>
      </c>
      <c r="R135" s="6"/>
      <c r="S135" s="7">
        <f>32526+15707+4406</f>
        <v>52639</v>
      </c>
      <c r="T135" s="6"/>
      <c r="U135" s="286">
        <f t="shared" si="27"/>
        <v>8.2928189503335151E-2</v>
      </c>
      <c r="W135">
        <f t="shared" si="20"/>
        <v>125</v>
      </c>
      <c r="Y135" s="56"/>
    </row>
    <row r="136" spans="3:25" x14ac:dyDescent="0.3">
      <c r="C136" s="170">
        <f t="shared" si="15"/>
        <v>44035</v>
      </c>
      <c r="E136" s="284">
        <v>409697</v>
      </c>
      <c r="F136" s="7"/>
      <c r="G136" s="7">
        <v>177887</v>
      </c>
      <c r="H136" s="7"/>
      <c r="I136" s="7">
        <v>48232</v>
      </c>
      <c r="J136" s="287"/>
      <c r="K136" s="7">
        <f>SUM(E136:I136)</f>
        <v>635816</v>
      </c>
      <c r="L136" s="6"/>
      <c r="M136" s="481">
        <f t="shared" si="25"/>
        <v>1.6730891022348816E-3</v>
      </c>
      <c r="N136" s="29"/>
      <c r="O136" s="29"/>
      <c r="P136" s="29"/>
      <c r="Q136" s="375">
        <f t="shared" si="26"/>
        <v>1062</v>
      </c>
      <c r="R136" s="6"/>
      <c r="S136" s="7">
        <f>32594+15730+4410</f>
        <v>52734</v>
      </c>
      <c r="T136" s="6"/>
      <c r="U136" s="286">
        <f t="shared" si="27"/>
        <v>8.2939089296274388E-2</v>
      </c>
      <c r="W136">
        <f t="shared" si="20"/>
        <v>126</v>
      </c>
      <c r="Y136" s="56"/>
    </row>
    <row r="137" spans="3:25" x14ac:dyDescent="0.3">
      <c r="C137" s="170">
        <f t="shared" si="15"/>
        <v>44036</v>
      </c>
      <c r="E137" s="284">
        <v>410450</v>
      </c>
      <c r="F137" s="7"/>
      <c r="G137" s="7">
        <v>178345</v>
      </c>
      <c r="H137" s="7"/>
      <c r="I137" s="7">
        <v>48776</v>
      </c>
      <c r="J137" s="287"/>
      <c r="K137" s="7">
        <v>637571</v>
      </c>
      <c r="L137" s="6"/>
      <c r="M137" s="481">
        <v>2.7602325201001548E-3</v>
      </c>
      <c r="N137" s="29"/>
      <c r="O137" s="29"/>
      <c r="P137" s="29"/>
      <c r="Q137" s="375">
        <v>1755</v>
      </c>
      <c r="R137" s="6"/>
      <c r="S137" s="7">
        <v>52774</v>
      </c>
      <c r="T137" s="6"/>
      <c r="U137" s="286">
        <v>8.2773526399412767E-2</v>
      </c>
      <c r="W137">
        <f t="shared" si="20"/>
        <v>127</v>
      </c>
      <c r="Y137" s="56"/>
    </row>
    <row r="138" spans="3:25" x14ac:dyDescent="0.3">
      <c r="C138" s="170">
        <f t="shared" si="15"/>
        <v>44037</v>
      </c>
      <c r="E138" s="284">
        <v>411200</v>
      </c>
      <c r="F138" s="7"/>
      <c r="G138" s="7">
        <v>178858</v>
      </c>
      <c r="H138" s="7"/>
      <c r="I138" s="7">
        <v>48776</v>
      </c>
      <c r="J138" s="287"/>
      <c r="K138" s="7">
        <f t="shared" ref="K138:K165" si="29">SUM(E138:I138)</f>
        <v>638834</v>
      </c>
      <c r="L138" s="6"/>
      <c r="M138" s="481">
        <f t="shared" ref="M138:M165" si="30">+(K138-K137)/K137</f>
        <v>1.9809558464861168E-3</v>
      </c>
      <c r="N138" s="29"/>
      <c r="O138" s="29"/>
      <c r="P138" s="29"/>
      <c r="Q138" s="375">
        <f t="shared" ref="Q138:Q165" si="31">+K138-K137</f>
        <v>1263</v>
      </c>
      <c r="R138" s="6"/>
      <c r="S138" s="7">
        <f>32608+15776+4413</f>
        <v>52797</v>
      </c>
      <c r="T138" s="6"/>
      <c r="U138" s="286">
        <f t="shared" ref="U138:U165" si="32">+S138/K138</f>
        <v>8.264588296803238E-2</v>
      </c>
      <c r="W138">
        <f t="shared" si="20"/>
        <v>128</v>
      </c>
      <c r="Y138" s="56"/>
    </row>
    <row r="139" spans="3:25" x14ac:dyDescent="0.3">
      <c r="C139" s="170">
        <f t="shared" si="15"/>
        <v>44038</v>
      </c>
      <c r="E139" s="284">
        <v>411736</v>
      </c>
      <c r="F139" s="7"/>
      <c r="G139" s="7">
        <v>179363</v>
      </c>
      <c r="H139" s="7"/>
      <c r="I139" s="7">
        <v>48776</v>
      </c>
      <c r="J139" s="287"/>
      <c r="K139" s="7">
        <f t="shared" si="29"/>
        <v>639875</v>
      </c>
      <c r="L139" s="6"/>
      <c r="M139" s="481">
        <f t="shared" si="30"/>
        <v>1.6295313023414533E-3</v>
      </c>
      <c r="N139" s="29"/>
      <c r="O139" s="29"/>
      <c r="P139" s="29"/>
      <c r="Q139" s="375">
        <f t="shared" si="31"/>
        <v>1041</v>
      </c>
      <c r="R139" s="6"/>
      <c r="S139" s="7">
        <f>32630+15787+4413</f>
        <v>52830</v>
      </c>
      <c r="T139" s="6"/>
      <c r="U139" s="286">
        <f t="shared" si="32"/>
        <v>8.2563000586051968E-2</v>
      </c>
      <c r="W139">
        <f t="shared" si="20"/>
        <v>129</v>
      </c>
      <c r="Y139" s="56"/>
    </row>
    <row r="140" spans="3:25" x14ac:dyDescent="0.3">
      <c r="C140" s="170">
        <f t="shared" si="15"/>
        <v>44039</v>
      </c>
      <c r="E140" s="284">
        <v>412344</v>
      </c>
      <c r="F140" s="7"/>
      <c r="G140" s="7">
        <v>179812</v>
      </c>
      <c r="H140" s="7"/>
      <c r="I140" s="7">
        <v>48983</v>
      </c>
      <c r="J140" s="287"/>
      <c r="K140" s="7">
        <f t="shared" si="29"/>
        <v>641139</v>
      </c>
      <c r="L140" s="6"/>
      <c r="M140" s="481">
        <f t="shared" si="30"/>
        <v>1.9753858175424886E-3</v>
      </c>
      <c r="N140" s="29"/>
      <c r="O140" s="29"/>
      <c r="P140" s="29"/>
      <c r="Q140" s="375">
        <f t="shared" si="31"/>
        <v>1264</v>
      </c>
      <c r="R140" s="6"/>
      <c r="S140" s="7">
        <f>32645+15604+4418</f>
        <v>52667</v>
      </c>
      <c r="T140" s="6"/>
      <c r="U140" s="286">
        <f t="shared" si="32"/>
        <v>8.2145993302544379E-2</v>
      </c>
      <c r="W140">
        <f t="shared" si="20"/>
        <v>130</v>
      </c>
      <c r="Y140" s="56"/>
    </row>
    <row r="141" spans="3:25" x14ac:dyDescent="0.3">
      <c r="C141" s="170">
        <f t="shared" si="15"/>
        <v>44040</v>
      </c>
      <c r="E141" s="284">
        <v>412878</v>
      </c>
      <c r="F141" s="7"/>
      <c r="G141" s="7">
        <v>180295</v>
      </c>
      <c r="H141" s="7"/>
      <c r="I141" s="7">
        <v>49077</v>
      </c>
      <c r="J141" s="287"/>
      <c r="K141" s="7">
        <f t="shared" si="29"/>
        <v>642250</v>
      </c>
      <c r="L141" s="6"/>
      <c r="M141" s="481">
        <f t="shared" si="30"/>
        <v>1.7328535621760647E-3</v>
      </c>
      <c r="N141" s="29"/>
      <c r="O141" s="29"/>
      <c r="P141" s="29"/>
      <c r="Q141" s="375">
        <f t="shared" si="31"/>
        <v>1111</v>
      </c>
      <c r="R141" s="6"/>
      <c r="S141" s="7">
        <f>32653+15826+4423</f>
        <v>52902</v>
      </c>
      <c r="T141" s="6"/>
      <c r="U141" s="286">
        <f t="shared" si="32"/>
        <v>8.2369793694044374E-2</v>
      </c>
      <c r="W141">
        <f t="shared" si="20"/>
        <v>131</v>
      </c>
      <c r="Y141" s="56"/>
    </row>
    <row r="142" spans="3:25" x14ac:dyDescent="0.3">
      <c r="C142" s="170">
        <f t="shared" si="15"/>
        <v>44041</v>
      </c>
      <c r="E142" s="284">
        <v>413593</v>
      </c>
      <c r="F142" s="7"/>
      <c r="G142" s="7">
        <v>180600</v>
      </c>
      <c r="H142" s="7"/>
      <c r="I142" s="7">
        <v>49540</v>
      </c>
      <c r="J142" s="287"/>
      <c r="K142" s="7">
        <f t="shared" si="29"/>
        <v>643733</v>
      </c>
      <c r="L142" s="6"/>
      <c r="M142" s="481">
        <f t="shared" si="30"/>
        <v>2.3090696769170883E-3</v>
      </c>
      <c r="N142" s="29"/>
      <c r="O142" s="29"/>
      <c r="P142" s="29"/>
      <c r="Q142" s="375">
        <f t="shared" si="31"/>
        <v>1483</v>
      </c>
      <c r="R142" s="6"/>
      <c r="S142" s="7">
        <f>32658+15798+4425</f>
        <v>52881</v>
      </c>
      <c r="T142" s="6"/>
      <c r="U142" s="286">
        <f t="shared" si="32"/>
        <v>8.2147412048162824E-2</v>
      </c>
      <c r="W142">
        <f t="shared" si="20"/>
        <v>132</v>
      </c>
      <c r="Y142" s="56"/>
    </row>
    <row r="143" spans="3:25" x14ac:dyDescent="0.3">
      <c r="C143" s="170">
        <f t="shared" si="15"/>
        <v>44042</v>
      </c>
      <c r="E143" s="284">
        <v>414370</v>
      </c>
      <c r="F143" s="7"/>
      <c r="G143" s="7">
        <v>180970</v>
      </c>
      <c r="H143" s="7"/>
      <c r="I143" s="7">
        <v>49670</v>
      </c>
      <c r="J143" s="287"/>
      <c r="K143" s="7">
        <f t="shared" si="29"/>
        <v>645010</v>
      </c>
      <c r="L143" s="6"/>
      <c r="M143" s="481">
        <f t="shared" si="30"/>
        <v>1.9837417065771057E-3</v>
      </c>
      <c r="N143" s="29"/>
      <c r="O143" s="29"/>
      <c r="P143" s="29"/>
      <c r="Q143" s="375">
        <f t="shared" si="31"/>
        <v>1277</v>
      </c>
      <c r="R143" s="6"/>
      <c r="S143" s="7">
        <f>32683+15809+4431</f>
        <v>52923</v>
      </c>
      <c r="T143" s="6"/>
      <c r="U143" s="286">
        <f t="shared" si="32"/>
        <v>8.2049890699369007E-2</v>
      </c>
      <c r="W143">
        <f t="shared" si="20"/>
        <v>133</v>
      </c>
      <c r="Y143" s="56"/>
    </row>
    <row r="144" spans="3:25" x14ac:dyDescent="0.3">
      <c r="C144" s="170">
        <f t="shared" si="15"/>
        <v>44043</v>
      </c>
      <c r="E144" s="284">
        <v>415014</v>
      </c>
      <c r="F144" s="7"/>
      <c r="G144" s="7">
        <v>181660</v>
      </c>
      <c r="H144" s="7"/>
      <c r="I144" s="7">
        <v>49810</v>
      </c>
      <c r="J144" s="287"/>
      <c r="K144" s="7">
        <f t="shared" si="29"/>
        <v>646484</v>
      </c>
      <c r="L144" s="6"/>
      <c r="M144" s="481">
        <f t="shared" si="30"/>
        <v>2.285235887815693E-3</v>
      </c>
      <c r="N144" s="29"/>
      <c r="O144" s="29"/>
      <c r="P144" s="29"/>
      <c r="Q144" s="375">
        <f t="shared" si="31"/>
        <v>1474</v>
      </c>
      <c r="R144" s="6"/>
      <c r="S144" s="7">
        <f>32689+15819+4432</f>
        <v>52940</v>
      </c>
      <c r="T144" s="6"/>
      <c r="U144" s="286">
        <f t="shared" si="32"/>
        <v>8.1889110944741092E-2</v>
      </c>
      <c r="W144">
        <f t="shared" si="20"/>
        <v>134</v>
      </c>
      <c r="Y144" s="56"/>
    </row>
    <row r="145" spans="3:25" x14ac:dyDescent="0.3">
      <c r="C145" s="170">
        <f t="shared" si="15"/>
        <v>44044</v>
      </c>
      <c r="E145" s="284">
        <v>415767</v>
      </c>
      <c r="F145" s="7"/>
      <c r="G145" s="7">
        <v>181754</v>
      </c>
      <c r="H145" s="7"/>
      <c r="I145" s="7">
        <v>49810</v>
      </c>
      <c r="J145" s="287"/>
      <c r="K145" s="7">
        <f t="shared" si="29"/>
        <v>647331</v>
      </c>
      <c r="L145" s="6"/>
      <c r="M145" s="481">
        <f t="shared" si="30"/>
        <v>1.3101639019681849E-3</v>
      </c>
      <c r="N145" s="29"/>
      <c r="O145" s="29"/>
      <c r="P145" s="29"/>
      <c r="Q145" s="375">
        <f t="shared" si="31"/>
        <v>847</v>
      </c>
      <c r="R145" s="6"/>
      <c r="S145" s="7">
        <f>32689+15819+4432</f>
        <v>52940</v>
      </c>
      <c r="T145" s="6"/>
      <c r="U145" s="286">
        <f t="shared" si="32"/>
        <v>8.1781963168765279E-2</v>
      </c>
      <c r="W145">
        <f t="shared" si="20"/>
        <v>135</v>
      </c>
      <c r="Y145" s="56"/>
    </row>
    <row r="146" spans="3:25" x14ac:dyDescent="0.3">
      <c r="C146" s="170">
        <f t="shared" si="15"/>
        <v>44045</v>
      </c>
      <c r="E146" s="284">
        <v>416298</v>
      </c>
      <c r="F146" s="7"/>
      <c r="G146" s="7">
        <v>182350</v>
      </c>
      <c r="H146" s="7"/>
      <c r="I146" s="7">
        <v>49810</v>
      </c>
      <c r="J146" s="287"/>
      <c r="K146" s="7">
        <f t="shared" si="29"/>
        <v>648458</v>
      </c>
      <c r="L146" s="6"/>
      <c r="M146" s="481">
        <f t="shared" si="30"/>
        <v>1.7409949469436811E-3</v>
      </c>
      <c r="N146" s="29"/>
      <c r="O146" s="29"/>
      <c r="P146" s="29"/>
      <c r="Q146" s="375">
        <f t="shared" si="31"/>
        <v>1127</v>
      </c>
      <c r="R146" s="6"/>
      <c r="S146" s="7">
        <f>32689+15819+4432</f>
        <v>52940</v>
      </c>
      <c r="T146" s="6"/>
      <c r="U146" s="286">
        <f t="shared" si="32"/>
        <v>8.1639828639634329E-2</v>
      </c>
      <c r="W146">
        <f t="shared" si="20"/>
        <v>136</v>
      </c>
      <c r="Y146" s="56"/>
    </row>
    <row r="147" spans="3:25" x14ac:dyDescent="0.3">
      <c r="C147" s="170">
        <f t="shared" si="15"/>
        <v>44046</v>
      </c>
      <c r="E147" s="284">
        <v>416843</v>
      </c>
      <c r="F147" s="7"/>
      <c r="G147" s="7">
        <v>182614</v>
      </c>
      <c r="H147" s="7"/>
      <c r="I147" s="7">
        <v>50062</v>
      </c>
      <c r="J147" s="287"/>
      <c r="K147" s="7">
        <f t="shared" si="29"/>
        <v>649519</v>
      </c>
      <c r="L147" s="6"/>
      <c r="M147" s="481">
        <f t="shared" si="30"/>
        <v>1.6361892366197966E-3</v>
      </c>
      <c r="N147" s="29"/>
      <c r="O147" s="29"/>
      <c r="P147" s="29"/>
      <c r="Q147" s="375">
        <f t="shared" si="31"/>
        <v>1061</v>
      </c>
      <c r="R147" s="6"/>
      <c r="S147" s="7">
        <f>32719+15846+4437</f>
        <v>53002</v>
      </c>
      <c r="T147" s="6"/>
      <c r="U147" s="286">
        <f t="shared" si="32"/>
        <v>8.160192388521352E-2</v>
      </c>
      <c r="W147">
        <f t="shared" si="20"/>
        <v>137</v>
      </c>
      <c r="Y147" s="56"/>
    </row>
    <row r="148" spans="3:25" x14ac:dyDescent="0.3">
      <c r="C148" s="170">
        <f t="shared" si="15"/>
        <v>44047</v>
      </c>
      <c r="E148" s="284">
        <v>417689</v>
      </c>
      <c r="F148" s="7"/>
      <c r="G148" s="7">
        <v>182586</v>
      </c>
      <c r="H148" s="7"/>
      <c r="I148" s="7">
        <v>50110</v>
      </c>
      <c r="J148" s="287"/>
      <c r="K148" s="7">
        <f t="shared" si="29"/>
        <v>650385</v>
      </c>
      <c r="L148" s="6"/>
      <c r="M148" s="481">
        <f t="shared" si="30"/>
        <v>1.3332943301119751E-3</v>
      </c>
      <c r="N148" s="29"/>
      <c r="O148" s="29"/>
      <c r="P148" s="29"/>
      <c r="Q148" s="375">
        <f t="shared" si="31"/>
        <v>866</v>
      </c>
      <c r="R148" s="6"/>
      <c r="S148" s="7">
        <f>32725+15846+4437</f>
        <v>53008</v>
      </c>
      <c r="T148" s="6"/>
      <c r="U148" s="286">
        <f t="shared" si="32"/>
        <v>8.1502494676230233E-2</v>
      </c>
      <c r="W148">
        <f t="shared" si="20"/>
        <v>138</v>
      </c>
      <c r="Y148" s="56"/>
    </row>
    <row r="149" spans="3:25" x14ac:dyDescent="0.3">
      <c r="C149" s="170">
        <f t="shared" si="15"/>
        <v>44048</v>
      </c>
      <c r="E149" s="284">
        <v>418225</v>
      </c>
      <c r="F149" s="7"/>
      <c r="G149" s="7">
        <v>183327</v>
      </c>
      <c r="H149" s="7"/>
      <c r="I149" s="7">
        <v>50225</v>
      </c>
      <c r="J149" s="287"/>
      <c r="K149" s="7">
        <f t="shared" si="29"/>
        <v>651777</v>
      </c>
      <c r="L149" s="6"/>
      <c r="M149" s="481">
        <f t="shared" si="30"/>
        <v>2.1402707627020917E-3</v>
      </c>
      <c r="N149" s="29"/>
      <c r="O149" s="29"/>
      <c r="P149" s="29"/>
      <c r="Q149" s="375">
        <f t="shared" si="31"/>
        <v>1392</v>
      </c>
      <c r="R149" s="6"/>
      <c r="S149" s="7">
        <f>32754+15842+4437</f>
        <v>53033</v>
      </c>
      <c r="T149" s="6"/>
      <c r="U149" s="286">
        <f t="shared" si="32"/>
        <v>8.1366786492926266E-2</v>
      </c>
      <c r="W149">
        <f t="shared" si="20"/>
        <v>139</v>
      </c>
      <c r="Y149" s="56"/>
    </row>
    <row r="150" spans="3:25" x14ac:dyDescent="0.3">
      <c r="C150" s="170">
        <f t="shared" si="15"/>
        <v>44049</v>
      </c>
      <c r="E150" s="284">
        <v>418928</v>
      </c>
      <c r="F150" s="7"/>
      <c r="G150" s="7">
        <v>183701</v>
      </c>
      <c r="H150" s="7"/>
      <c r="I150" s="7">
        <v>50246</v>
      </c>
      <c r="J150" s="287"/>
      <c r="K150" s="7">
        <f t="shared" si="29"/>
        <v>652875</v>
      </c>
      <c r="L150" s="6"/>
      <c r="M150" s="481">
        <f t="shared" si="30"/>
        <v>1.6846252629350222E-3</v>
      </c>
      <c r="N150" s="29"/>
      <c r="O150" s="29"/>
      <c r="P150" s="29"/>
      <c r="Q150" s="375">
        <f t="shared" si="31"/>
        <v>1098</v>
      </c>
      <c r="R150" s="6"/>
      <c r="S150" s="7">
        <f>32756+15849+4437</f>
        <v>53042</v>
      </c>
      <c r="T150" s="6"/>
      <c r="U150" s="286">
        <f t="shared" si="32"/>
        <v>8.1243729657285088E-2</v>
      </c>
      <c r="W150">
        <f t="shared" si="20"/>
        <v>140</v>
      </c>
      <c r="Y150" s="56"/>
    </row>
    <row r="151" spans="3:25" x14ac:dyDescent="0.3">
      <c r="C151" s="170">
        <f t="shared" si="15"/>
        <v>44050</v>
      </c>
      <c r="E151" s="284">
        <v>419642</v>
      </c>
      <c r="F151" s="7"/>
      <c r="G151" s="7">
        <v>184061</v>
      </c>
      <c r="H151" s="7"/>
      <c r="I151" s="7">
        <v>50320</v>
      </c>
      <c r="J151" s="287"/>
      <c r="K151" s="7">
        <f t="shared" si="29"/>
        <v>654023</v>
      </c>
      <c r="L151" s="6"/>
      <c r="M151" s="481">
        <f t="shared" si="30"/>
        <v>1.7583764120237412E-3</v>
      </c>
      <c r="N151" s="29"/>
      <c r="O151" s="29"/>
      <c r="P151" s="29"/>
      <c r="Q151" s="375">
        <f t="shared" si="31"/>
        <v>1148</v>
      </c>
      <c r="R151" s="6"/>
      <c r="S151" s="7">
        <f>32760+15849+4441</f>
        <v>53050</v>
      </c>
      <c r="T151" s="6"/>
      <c r="U151" s="286">
        <f t="shared" si="32"/>
        <v>8.1113355340714316E-2</v>
      </c>
      <c r="W151">
        <f t="shared" si="20"/>
        <v>141</v>
      </c>
      <c r="Y151" s="56"/>
    </row>
    <row r="152" spans="3:25" x14ac:dyDescent="0.3">
      <c r="C152" s="170">
        <f t="shared" si="15"/>
        <v>44051</v>
      </c>
      <c r="E152" s="284">
        <v>420345</v>
      </c>
      <c r="F152" s="7"/>
      <c r="G152" s="7">
        <v>184429</v>
      </c>
      <c r="H152" s="7"/>
      <c r="I152" s="7">
        <v>50320</v>
      </c>
      <c r="J152" s="287"/>
      <c r="K152" s="7">
        <f t="shared" si="29"/>
        <v>655094</v>
      </c>
      <c r="L152" s="6"/>
      <c r="M152" s="481">
        <f t="shared" si="30"/>
        <v>1.6375570889708771E-3</v>
      </c>
      <c r="N152" s="29"/>
      <c r="O152" s="29"/>
      <c r="P152" s="29"/>
      <c r="Q152" s="375">
        <f t="shared" si="31"/>
        <v>1071</v>
      </c>
      <c r="R152" s="6"/>
      <c r="S152" s="7">
        <f>32760+15849+4441</f>
        <v>53050</v>
      </c>
      <c r="T152" s="6"/>
      <c r="U152" s="286">
        <f t="shared" si="32"/>
        <v>8.0980744748081951E-2</v>
      </c>
      <c r="W152">
        <f t="shared" si="20"/>
        <v>142</v>
      </c>
      <c r="Y152" s="56"/>
    </row>
    <row r="153" spans="3:25" x14ac:dyDescent="0.3">
      <c r="C153" s="170">
        <f t="shared" si="15"/>
        <v>44052</v>
      </c>
      <c r="E153" s="284">
        <v>420860</v>
      </c>
      <c r="F153" s="7"/>
      <c r="G153" s="7">
        <v>184773</v>
      </c>
      <c r="H153" s="7"/>
      <c r="I153" s="7">
        <v>50320</v>
      </c>
      <c r="J153" s="287"/>
      <c r="K153" s="7">
        <f t="shared" si="29"/>
        <v>655953</v>
      </c>
      <c r="L153" s="6"/>
      <c r="M153" s="481">
        <f t="shared" si="30"/>
        <v>1.3112622005391592E-3</v>
      </c>
      <c r="N153" s="29"/>
      <c r="O153" s="29"/>
      <c r="P153" s="29"/>
      <c r="Q153" s="375">
        <f t="shared" si="31"/>
        <v>859</v>
      </c>
      <c r="R153" s="6"/>
      <c r="S153" s="7">
        <f>32774+15874+4441</f>
        <v>53089</v>
      </c>
      <c r="T153" s="6"/>
      <c r="U153" s="286">
        <f t="shared" si="32"/>
        <v>8.093415229444792E-2</v>
      </c>
      <c r="W153">
        <f t="shared" si="20"/>
        <v>143</v>
      </c>
      <c r="Y153" s="56"/>
    </row>
    <row r="154" spans="3:25" x14ac:dyDescent="0.3">
      <c r="C154" s="170">
        <f t="shared" si="15"/>
        <v>44053</v>
      </c>
      <c r="E154" s="284">
        <v>421336</v>
      </c>
      <c r="F154" s="7"/>
      <c r="G154" s="7">
        <v>185031</v>
      </c>
      <c r="H154" s="7"/>
      <c r="I154" s="7">
        <v>50657</v>
      </c>
      <c r="J154" s="287"/>
      <c r="K154" s="7">
        <f t="shared" si="29"/>
        <v>657024</v>
      </c>
      <c r="L154" s="6"/>
      <c r="M154" s="481">
        <f t="shared" si="30"/>
        <v>1.6327389309904825E-3</v>
      </c>
      <c r="N154" s="29"/>
      <c r="O154" s="29"/>
      <c r="P154" s="29"/>
      <c r="Q154" s="375">
        <f t="shared" si="31"/>
        <v>1071</v>
      </c>
      <c r="R154" s="6"/>
      <c r="S154" s="7">
        <f>32781+15878+4444</f>
        <v>53103</v>
      </c>
      <c r="T154" s="6"/>
      <c r="U154" s="286">
        <f t="shared" si="32"/>
        <v>8.0823531560490935E-2</v>
      </c>
      <c r="W154">
        <f t="shared" si="20"/>
        <v>144</v>
      </c>
      <c r="Y154" s="56"/>
    </row>
    <row r="155" spans="3:25" x14ac:dyDescent="0.3">
      <c r="C155" s="170">
        <f t="shared" si="15"/>
        <v>44054</v>
      </c>
      <c r="E155" s="284">
        <v>422003</v>
      </c>
      <c r="F155" s="7"/>
      <c r="G155" s="7">
        <v>185475</v>
      </c>
      <c r="H155" s="7"/>
      <c r="I155" s="7">
        <v>50684</v>
      </c>
      <c r="J155" s="287"/>
      <c r="K155" s="7">
        <f t="shared" si="29"/>
        <v>658162</v>
      </c>
      <c r="L155" s="6"/>
      <c r="M155" s="481">
        <f t="shared" si="30"/>
        <v>1.7320524060003895E-3</v>
      </c>
      <c r="N155" s="29"/>
      <c r="O155" s="29"/>
      <c r="P155" s="29"/>
      <c r="Q155" s="375">
        <f t="shared" si="31"/>
        <v>1138</v>
      </c>
      <c r="R155" s="6"/>
      <c r="S155" s="7">
        <f>32787+15890+4444</f>
        <v>53121</v>
      </c>
      <c r="T155" s="6"/>
      <c r="U155" s="286">
        <f t="shared" si="32"/>
        <v>8.0711131909772971E-2</v>
      </c>
      <c r="W155">
        <f t="shared" si="20"/>
        <v>145</v>
      </c>
      <c r="Y155" s="56"/>
    </row>
    <row r="156" spans="3:25" x14ac:dyDescent="0.3">
      <c r="C156" s="170">
        <f t="shared" si="15"/>
        <v>44055</v>
      </c>
      <c r="E156" s="284">
        <v>422703</v>
      </c>
      <c r="F156" s="7"/>
      <c r="G156" s="7">
        <v>185938</v>
      </c>
      <c r="H156" s="7"/>
      <c r="I156" s="7">
        <v>50706</v>
      </c>
      <c r="J156" s="287"/>
      <c r="K156" s="7">
        <f t="shared" si="29"/>
        <v>659347</v>
      </c>
      <c r="L156" s="6"/>
      <c r="M156" s="481">
        <f t="shared" si="30"/>
        <v>1.8004685776450175E-3</v>
      </c>
      <c r="N156" s="29"/>
      <c r="O156" s="29"/>
      <c r="P156" s="29"/>
      <c r="Q156" s="375">
        <f t="shared" si="31"/>
        <v>1185</v>
      </c>
      <c r="R156" s="6"/>
      <c r="S156" s="7">
        <f>32787+15890+4444</f>
        <v>53121</v>
      </c>
      <c r="T156" s="6"/>
      <c r="U156" s="286">
        <f t="shared" si="32"/>
        <v>8.0566075222909941E-2</v>
      </c>
      <c r="W156">
        <f t="shared" si="20"/>
        <v>146</v>
      </c>
      <c r="Y156" s="56"/>
    </row>
    <row r="157" spans="3:25" x14ac:dyDescent="0.3">
      <c r="C157" s="170">
        <f t="shared" si="15"/>
        <v>44056</v>
      </c>
      <c r="E157" s="284">
        <v>423440</v>
      </c>
      <c r="F157" s="7"/>
      <c r="G157" s="7">
        <v>185594</v>
      </c>
      <c r="H157" s="7"/>
      <c r="I157" s="7">
        <v>50782</v>
      </c>
      <c r="J157" s="287"/>
      <c r="K157" s="7">
        <f t="shared" si="29"/>
        <v>659816</v>
      </c>
      <c r="L157" s="6"/>
      <c r="M157" s="481">
        <f t="shared" si="30"/>
        <v>7.1130982623717105E-4</v>
      </c>
      <c r="N157" s="29"/>
      <c r="O157" s="29"/>
      <c r="P157" s="29"/>
      <c r="Q157" s="375">
        <f t="shared" si="31"/>
        <v>469</v>
      </c>
      <c r="R157" s="6"/>
      <c r="S157" s="7">
        <f>32806+15893+4450</f>
        <v>53149</v>
      </c>
      <c r="T157" s="6"/>
      <c r="U157" s="286">
        <f t="shared" si="32"/>
        <v>8.0551244589400675E-2</v>
      </c>
      <c r="W157">
        <f t="shared" si="20"/>
        <v>147</v>
      </c>
      <c r="Y157" s="56"/>
    </row>
    <row r="158" spans="3:25" x14ac:dyDescent="0.3">
      <c r="C158" s="170">
        <f t="shared" si="15"/>
        <v>44057</v>
      </c>
      <c r="E158" s="284">
        <v>424167</v>
      </c>
      <c r="F158" s="7"/>
      <c r="G158" s="7">
        <v>187164</v>
      </c>
      <c r="H158" s="7"/>
      <c r="I158" s="7">
        <v>50897</v>
      </c>
      <c r="J158" s="287"/>
      <c r="K158" s="7">
        <f t="shared" si="29"/>
        <v>662228</v>
      </c>
      <c r="L158" s="6"/>
      <c r="M158" s="481">
        <f t="shared" si="30"/>
        <v>3.6555645816409425E-3</v>
      </c>
      <c r="N158" s="29"/>
      <c r="O158" s="29"/>
      <c r="P158" s="29"/>
      <c r="Q158" s="375">
        <f t="shared" si="31"/>
        <v>2412</v>
      </c>
      <c r="R158" s="6"/>
      <c r="S158" s="7">
        <f>32827+15903+4453</f>
        <v>53183</v>
      </c>
      <c r="T158" s="6"/>
      <c r="U158" s="286">
        <f t="shared" si="32"/>
        <v>8.0309198644575586E-2</v>
      </c>
      <c r="W158">
        <f t="shared" si="20"/>
        <v>148</v>
      </c>
      <c r="Y158" s="56"/>
    </row>
    <row r="159" spans="3:25" x14ac:dyDescent="0.3">
      <c r="C159" s="170">
        <f t="shared" si="15"/>
        <v>44058</v>
      </c>
      <c r="E159" s="284">
        <v>424901</v>
      </c>
      <c r="F159" s="7"/>
      <c r="G159" s="7">
        <v>187442</v>
      </c>
      <c r="H159" s="7"/>
      <c r="I159" s="7">
        <v>50897</v>
      </c>
      <c r="J159" s="287"/>
      <c r="K159" s="7">
        <f t="shared" si="29"/>
        <v>663240</v>
      </c>
      <c r="L159" s="6"/>
      <c r="M159" s="481">
        <f t="shared" si="30"/>
        <v>1.528174586396226E-3</v>
      </c>
      <c r="N159" s="29"/>
      <c r="O159" s="29"/>
      <c r="P159" s="29"/>
      <c r="Q159" s="375">
        <f t="shared" si="31"/>
        <v>1012</v>
      </c>
      <c r="R159" s="6"/>
      <c r="S159" s="7">
        <f>32833+15910+4453</f>
        <v>53196</v>
      </c>
      <c r="T159" s="6"/>
      <c r="U159" s="286">
        <f t="shared" si="32"/>
        <v>8.0206260177311375E-2</v>
      </c>
      <c r="W159">
        <f t="shared" si="20"/>
        <v>149</v>
      </c>
      <c r="Y159" s="56"/>
    </row>
    <row r="160" spans="3:25" x14ac:dyDescent="0.3">
      <c r="C160" s="170">
        <f t="shared" si="15"/>
        <v>44059</v>
      </c>
      <c r="E160" s="284">
        <v>425508</v>
      </c>
      <c r="F160" s="7"/>
      <c r="G160" s="7">
        <v>187455</v>
      </c>
      <c r="H160" s="7"/>
      <c r="I160" s="7">
        <v>50897</v>
      </c>
      <c r="J160" s="287"/>
      <c r="K160" s="7">
        <f t="shared" si="29"/>
        <v>663860</v>
      </c>
      <c r="L160" s="6"/>
      <c r="M160" s="481">
        <f t="shared" si="30"/>
        <v>9.3480489717146127E-4</v>
      </c>
      <c r="N160" s="29"/>
      <c r="O160" s="29"/>
      <c r="P160" s="29"/>
      <c r="Q160" s="375">
        <f t="shared" si="31"/>
        <v>620</v>
      </c>
      <c r="R160" s="6"/>
      <c r="S160" s="7">
        <f>32840+15912+4453</f>
        <v>53205</v>
      </c>
      <c r="T160" s="6"/>
      <c r="U160" s="286">
        <f t="shared" si="32"/>
        <v>8.0144910071400594E-2</v>
      </c>
      <c r="W160">
        <f t="shared" si="20"/>
        <v>150</v>
      </c>
      <c r="Y160" s="56"/>
    </row>
    <row r="161" spans="3:25" x14ac:dyDescent="0.3">
      <c r="C161" s="170">
        <f t="shared" si="15"/>
        <v>44060</v>
      </c>
      <c r="E161" s="284">
        <v>425916</v>
      </c>
      <c r="F161" s="7"/>
      <c r="G161" s="7">
        <v>187767</v>
      </c>
      <c r="H161" s="7"/>
      <c r="I161" s="7">
        <v>51267</v>
      </c>
      <c r="J161" s="287"/>
      <c r="K161" s="7">
        <f t="shared" si="29"/>
        <v>664950</v>
      </c>
      <c r="L161" s="6"/>
      <c r="M161" s="481">
        <f t="shared" si="30"/>
        <v>1.6419124514204801E-3</v>
      </c>
      <c r="N161" s="29"/>
      <c r="O161" s="29"/>
      <c r="P161" s="29"/>
      <c r="Q161" s="375">
        <f t="shared" si="31"/>
        <v>1090</v>
      </c>
      <c r="R161" s="6"/>
      <c r="S161" s="7">
        <f>32846+15916+4456</f>
        <v>53218</v>
      </c>
      <c r="T161" s="6"/>
      <c r="U161" s="286">
        <f t="shared" si="32"/>
        <v>8.0033085194375519E-2</v>
      </c>
      <c r="W161">
        <f t="shared" si="20"/>
        <v>151</v>
      </c>
      <c r="Y161" s="56"/>
    </row>
    <row r="162" spans="3:25" x14ac:dyDescent="0.3">
      <c r="C162" s="170">
        <f t="shared" si="15"/>
        <v>44061</v>
      </c>
      <c r="E162" s="284">
        <v>426571</v>
      </c>
      <c r="F162" s="7"/>
      <c r="G162" s="7">
        <v>188098</v>
      </c>
      <c r="H162" s="7"/>
      <c r="I162" s="7">
        <v>51255</v>
      </c>
      <c r="J162" s="287"/>
      <c r="K162" s="7">
        <f t="shared" si="29"/>
        <v>665924</v>
      </c>
      <c r="L162" s="6"/>
      <c r="M162" s="481">
        <f t="shared" si="30"/>
        <v>1.4647717873524325E-3</v>
      </c>
      <c r="N162" s="29"/>
      <c r="O162" s="29"/>
      <c r="P162" s="29"/>
      <c r="Q162" s="375">
        <f t="shared" si="31"/>
        <v>974</v>
      </c>
      <c r="R162" s="6"/>
      <c r="S162" s="7">
        <f>32857+15925+4456</f>
        <v>53238</v>
      </c>
      <c r="T162" s="6"/>
      <c r="U162" s="286">
        <f t="shared" si="32"/>
        <v>7.9946059910740566E-2</v>
      </c>
      <c r="W162">
        <f t="shared" si="20"/>
        <v>152</v>
      </c>
      <c r="Y162" s="56"/>
    </row>
    <row r="163" spans="3:25" x14ac:dyDescent="0.3">
      <c r="C163" s="170">
        <f t="shared" si="15"/>
        <v>44062</v>
      </c>
      <c r="E163" s="284">
        <v>427202</v>
      </c>
      <c r="F163" s="7"/>
      <c r="G163" s="7">
        <v>188427</v>
      </c>
      <c r="H163" s="7"/>
      <c r="I163" s="7">
        <v>51314</v>
      </c>
      <c r="J163" s="287"/>
      <c r="K163" s="7">
        <f t="shared" si="29"/>
        <v>666943</v>
      </c>
      <c r="L163" s="6"/>
      <c r="M163" s="481">
        <f t="shared" si="30"/>
        <v>1.5302046479778472E-3</v>
      </c>
      <c r="N163" s="29"/>
      <c r="O163" s="29"/>
      <c r="P163" s="29"/>
      <c r="Q163" s="375">
        <f t="shared" si="31"/>
        <v>1019</v>
      </c>
      <c r="R163" s="6"/>
      <c r="S163" s="7">
        <f>32865+15926+4457</f>
        <v>53248</v>
      </c>
      <c r="T163" s="6"/>
      <c r="U163" s="286">
        <f t="shared" si="32"/>
        <v>7.9838906773142537E-2</v>
      </c>
      <c r="W163">
        <f t="shared" si="20"/>
        <v>153</v>
      </c>
      <c r="Y163" s="56"/>
    </row>
    <row r="164" spans="3:25" x14ac:dyDescent="0.3">
      <c r="C164" s="170">
        <f t="shared" si="15"/>
        <v>44063</v>
      </c>
      <c r="E164" s="284">
        <v>427803</v>
      </c>
      <c r="F164" s="7"/>
      <c r="G164" s="7">
        <v>188527</v>
      </c>
      <c r="H164" s="7"/>
      <c r="I164" s="7">
        <v>51432</v>
      </c>
      <c r="J164" s="287"/>
      <c r="K164" s="7">
        <f t="shared" si="29"/>
        <v>667762</v>
      </c>
      <c r="L164" s="6"/>
      <c r="M164" s="481">
        <f t="shared" si="30"/>
        <v>1.2279909977314404E-3</v>
      </c>
      <c r="N164" s="29"/>
      <c r="O164" s="29"/>
      <c r="P164" s="29"/>
      <c r="Q164" s="375">
        <f t="shared" si="31"/>
        <v>819</v>
      </c>
      <c r="R164" s="6"/>
      <c r="S164" s="7">
        <f>32861+15932+4458</f>
        <v>53251</v>
      </c>
      <c r="T164" s="6"/>
      <c r="U164" s="286">
        <f t="shared" si="32"/>
        <v>7.974547817935132E-2</v>
      </c>
      <c r="W164">
        <f t="shared" si="20"/>
        <v>154</v>
      </c>
      <c r="Y164" s="56"/>
    </row>
    <row r="165" spans="3:25" x14ac:dyDescent="0.3">
      <c r="C165" s="170">
        <f t="shared" si="15"/>
        <v>44064</v>
      </c>
      <c r="E165" s="284">
        <v>429165</v>
      </c>
      <c r="F165" s="7"/>
      <c r="G165" s="7">
        <v>189346</v>
      </c>
      <c r="H165" s="7"/>
      <c r="I165" s="7">
        <v>51519</v>
      </c>
      <c r="J165" s="287"/>
      <c r="K165" s="7">
        <f t="shared" si="29"/>
        <v>670030</v>
      </c>
      <c r="L165" s="6"/>
      <c r="M165" s="481">
        <f t="shared" si="30"/>
        <v>3.3964196824617155E-3</v>
      </c>
      <c r="N165" s="29"/>
      <c r="O165" s="29"/>
      <c r="P165" s="29"/>
      <c r="Q165" s="375">
        <f t="shared" si="31"/>
        <v>2268</v>
      </c>
      <c r="R165" s="6"/>
      <c r="S165" s="7">
        <f>32871+15943+4450</f>
        <v>53264</v>
      </c>
      <c r="T165" s="6"/>
      <c r="U165" s="286">
        <f t="shared" si="32"/>
        <v>7.9494947987403544E-2</v>
      </c>
      <c r="W165">
        <f t="shared" si="20"/>
        <v>155</v>
      </c>
      <c r="Y165" s="56"/>
    </row>
    <row r="166" spans="3:25" x14ac:dyDescent="0.3">
      <c r="C166" s="170">
        <f t="shared" si="15"/>
        <v>44065</v>
      </c>
      <c r="E166" s="284">
        <v>429737</v>
      </c>
      <c r="F166" s="7"/>
      <c r="G166" s="7">
        <v>189494</v>
      </c>
      <c r="H166" s="7"/>
      <c r="I166" s="7">
        <v>51519</v>
      </c>
      <c r="J166" s="287"/>
      <c r="K166" s="7">
        <f t="shared" ref="K166:K183" si="33">SUM(E166:I166)</f>
        <v>670750</v>
      </c>
      <c r="L166" s="6"/>
      <c r="M166" s="481">
        <f t="shared" ref="M166:M183" si="34">+(K166-K165)/K165</f>
        <v>1.0745787502052147E-3</v>
      </c>
      <c r="N166" s="29"/>
      <c r="O166" s="29"/>
      <c r="P166" s="29"/>
      <c r="Q166" s="375">
        <f t="shared" ref="Q166:Q183" si="35">+K166-K165</f>
        <v>720</v>
      </c>
      <c r="R166" s="6"/>
      <c r="S166" s="7">
        <f>32883+15946+4460</f>
        <v>53289</v>
      </c>
      <c r="T166" s="6"/>
      <c r="U166" s="286">
        <f t="shared" ref="U166:U183" si="36">+S166/K166</f>
        <v>7.9446887812150577E-2</v>
      </c>
      <c r="W166">
        <f t="shared" si="20"/>
        <v>156</v>
      </c>
      <c r="Y166" s="56"/>
    </row>
    <row r="167" spans="3:25" x14ac:dyDescent="0.3">
      <c r="C167" s="170">
        <f t="shared" si="15"/>
        <v>44066</v>
      </c>
      <c r="E167" s="284">
        <v>430146</v>
      </c>
      <c r="F167" s="7"/>
      <c r="G167" s="7">
        <v>189719</v>
      </c>
      <c r="H167" s="7"/>
      <c r="I167" s="7">
        <v>52011</v>
      </c>
      <c r="J167" s="287"/>
      <c r="K167" s="7">
        <f t="shared" si="33"/>
        <v>671876</v>
      </c>
      <c r="L167" s="6"/>
      <c r="M167" s="481">
        <f t="shared" si="34"/>
        <v>1.6787178531494596E-3</v>
      </c>
      <c r="N167" s="29"/>
      <c r="O167" s="29"/>
      <c r="P167" s="29"/>
      <c r="Q167" s="375">
        <f t="shared" si="35"/>
        <v>1126</v>
      </c>
      <c r="R167" s="6"/>
      <c r="S167" s="7">
        <f>32887+15946+4460</f>
        <v>53293</v>
      </c>
      <c r="T167" s="6"/>
      <c r="U167" s="286">
        <f t="shared" si="36"/>
        <v>7.931969589626657E-2</v>
      </c>
      <c r="W167">
        <f t="shared" si="20"/>
        <v>157</v>
      </c>
      <c r="Y167" s="56"/>
    </row>
    <row r="168" spans="3:25" x14ac:dyDescent="0.3">
      <c r="C168" s="170">
        <f t="shared" si="15"/>
        <v>44067</v>
      </c>
      <c r="E168" s="284">
        <v>430774</v>
      </c>
      <c r="F168" s="7"/>
      <c r="G168" s="7">
        <v>190021</v>
      </c>
      <c r="H168" s="7"/>
      <c r="I168" s="7">
        <v>52040</v>
      </c>
      <c r="J168" s="287"/>
      <c r="K168" s="7">
        <f t="shared" si="33"/>
        <v>672835</v>
      </c>
      <c r="L168" s="6"/>
      <c r="M168" s="481">
        <f t="shared" si="34"/>
        <v>1.427346712786288E-3</v>
      </c>
      <c r="N168" s="29"/>
      <c r="O168" s="29"/>
      <c r="P168" s="29"/>
      <c r="Q168" s="375">
        <f t="shared" si="35"/>
        <v>959</v>
      </c>
      <c r="R168" s="6"/>
      <c r="S168" s="7">
        <f>32918+15953+4463</f>
        <v>53334</v>
      </c>
      <c r="T168" s="6"/>
      <c r="U168" s="286">
        <f t="shared" si="36"/>
        <v>7.9267576746156185E-2</v>
      </c>
      <c r="W168">
        <f t="shared" si="20"/>
        <v>158</v>
      </c>
      <c r="Y168" s="56"/>
    </row>
    <row r="169" spans="3:25" x14ac:dyDescent="0.3">
      <c r="C169" s="170">
        <f t="shared" si="15"/>
        <v>44068</v>
      </c>
      <c r="E169" s="284">
        <v>431340</v>
      </c>
      <c r="F169" s="7"/>
      <c r="G169" s="7">
        <v>190306</v>
      </c>
      <c r="H169" s="7"/>
      <c r="I169" s="7">
        <v>52220</v>
      </c>
      <c r="J169" s="287"/>
      <c r="K169" s="7">
        <f t="shared" si="33"/>
        <v>673866</v>
      </c>
      <c r="L169" s="6"/>
      <c r="M169" s="481">
        <f t="shared" si="34"/>
        <v>1.5323221889467699E-3</v>
      </c>
      <c r="N169" s="29"/>
      <c r="O169" s="29"/>
      <c r="P169" s="29"/>
      <c r="Q169" s="375">
        <f t="shared" si="35"/>
        <v>1031</v>
      </c>
      <c r="R169" s="6"/>
      <c r="S169" s="7">
        <f>32921+15914+4463</f>
        <v>53298</v>
      </c>
      <c r="T169" s="6"/>
      <c r="U169" s="286">
        <f t="shared" si="36"/>
        <v>7.9092876031733317E-2</v>
      </c>
      <c r="W169">
        <f t="shared" si="20"/>
        <v>159</v>
      </c>
      <c r="Y169" s="56"/>
    </row>
    <row r="170" spans="3:25" x14ac:dyDescent="0.3">
      <c r="C170" s="170">
        <f t="shared" si="15"/>
        <v>44069</v>
      </c>
      <c r="E170" s="284">
        <v>431750</v>
      </c>
      <c r="F170" s="7"/>
      <c r="G170" s="7">
        <v>190422</v>
      </c>
      <c r="H170" s="7"/>
      <c r="I170" s="7">
        <v>52280</v>
      </c>
      <c r="J170" s="287"/>
      <c r="K170" s="7">
        <f t="shared" si="33"/>
        <v>674452</v>
      </c>
      <c r="L170" s="6"/>
      <c r="M170" s="481">
        <f t="shared" si="34"/>
        <v>8.6960909142173664E-4</v>
      </c>
      <c r="N170" s="29"/>
      <c r="O170" s="29"/>
      <c r="P170" s="29"/>
      <c r="Q170" s="375">
        <f t="shared" si="35"/>
        <v>586</v>
      </c>
      <c r="R170" s="6"/>
      <c r="S170" s="7">
        <f>32921+15914+4463</f>
        <v>53298</v>
      </c>
      <c r="T170" s="6"/>
      <c r="U170" s="286">
        <f t="shared" si="36"/>
        <v>7.9024155907314389E-2</v>
      </c>
      <c r="W170">
        <f t="shared" si="20"/>
        <v>160</v>
      </c>
      <c r="Y170" s="56"/>
    </row>
    <row r="171" spans="3:25" x14ac:dyDescent="0.3">
      <c r="C171" s="170">
        <f t="shared" si="15"/>
        <v>44070</v>
      </c>
      <c r="E171" s="284">
        <v>432131</v>
      </c>
      <c r="F171" s="7"/>
      <c r="G171" s="7">
        <v>190613</v>
      </c>
      <c r="H171" s="7"/>
      <c r="I171" s="7">
        <v>52350</v>
      </c>
      <c r="J171" s="287"/>
      <c r="K171" s="7">
        <f t="shared" si="33"/>
        <v>675094</v>
      </c>
      <c r="L171" s="6"/>
      <c r="M171" s="481">
        <f t="shared" si="34"/>
        <v>9.5188389981792627E-4</v>
      </c>
      <c r="N171" s="29"/>
      <c r="O171" s="29"/>
      <c r="P171" s="29"/>
      <c r="Q171" s="375">
        <f t="shared" si="35"/>
        <v>642</v>
      </c>
      <c r="R171" s="6"/>
      <c r="S171" s="7">
        <f>32926+15921+4465</f>
        <v>53312</v>
      </c>
      <c r="T171" s="6"/>
      <c r="U171" s="286">
        <f t="shared" si="36"/>
        <v>7.8969743472760826E-2</v>
      </c>
      <c r="W171">
        <f t="shared" si="20"/>
        <v>161</v>
      </c>
      <c r="Y171" s="56"/>
    </row>
    <row r="172" spans="3:25" x14ac:dyDescent="0.3">
      <c r="C172" s="170">
        <f t="shared" si="15"/>
        <v>44071</v>
      </c>
      <c r="E172" s="284">
        <v>432767</v>
      </c>
      <c r="F172" s="7"/>
      <c r="G172" s="7">
        <v>190971</v>
      </c>
      <c r="H172" s="7"/>
      <c r="I172" s="7">
        <v>52495</v>
      </c>
      <c r="J172" s="287"/>
      <c r="K172" s="7">
        <f t="shared" si="33"/>
        <v>676233</v>
      </c>
      <c r="L172" s="6"/>
      <c r="M172" s="481">
        <f t="shared" si="34"/>
        <v>1.687172453021357E-3</v>
      </c>
      <c r="N172" s="29"/>
      <c r="O172" s="29"/>
      <c r="P172" s="29"/>
      <c r="Q172" s="375">
        <f t="shared" si="35"/>
        <v>1139</v>
      </c>
      <c r="R172" s="6"/>
      <c r="S172" s="7">
        <f>32934+15930+4465</f>
        <v>53329</v>
      </c>
      <c r="T172" s="6"/>
      <c r="U172" s="286">
        <f t="shared" si="36"/>
        <v>7.8861871573851022E-2</v>
      </c>
      <c r="W172">
        <f t="shared" si="20"/>
        <v>162</v>
      </c>
      <c r="Y172" s="56"/>
    </row>
    <row r="173" spans="3:25" x14ac:dyDescent="0.3">
      <c r="C173" s="170">
        <f t="shared" si="15"/>
        <v>44072</v>
      </c>
      <c r="E173" s="284">
        <v>433402</v>
      </c>
      <c r="F173" s="7"/>
      <c r="G173" s="7">
        <v>191420</v>
      </c>
      <c r="H173" s="7"/>
      <c r="I173" s="7">
        <v>52495</v>
      </c>
      <c r="J173" s="287"/>
      <c r="K173" s="7">
        <f t="shared" si="33"/>
        <v>677317</v>
      </c>
      <c r="L173" s="6"/>
      <c r="M173" s="481">
        <f t="shared" si="34"/>
        <v>1.6029977833084158E-3</v>
      </c>
      <c r="N173" s="29"/>
      <c r="O173" s="29"/>
      <c r="P173" s="29"/>
      <c r="Q173" s="375">
        <f t="shared" si="35"/>
        <v>1084</v>
      </c>
      <c r="R173" s="6"/>
      <c r="S173" s="7">
        <f>32938+15933+4465</f>
        <v>53336</v>
      </c>
      <c r="T173" s="6"/>
      <c r="U173" s="286">
        <f t="shared" si="36"/>
        <v>7.8745993382714444E-2</v>
      </c>
      <c r="W173">
        <f t="shared" si="20"/>
        <v>163</v>
      </c>
      <c r="Y173" s="56"/>
    </row>
    <row r="174" spans="3:25" x14ac:dyDescent="0.3">
      <c r="C174" s="170">
        <f t="shared" si="15"/>
        <v>44073</v>
      </c>
      <c r="E174" s="284">
        <v>434100</v>
      </c>
      <c r="F174" s="7"/>
      <c r="G174" s="7">
        <v>191611</v>
      </c>
      <c r="H174" s="7"/>
      <c r="I174" s="7">
        <v>52495</v>
      </c>
      <c r="J174" s="287"/>
      <c r="K174" s="7">
        <f t="shared" si="33"/>
        <v>678206</v>
      </c>
      <c r="L174" s="6"/>
      <c r="M174" s="481">
        <f t="shared" si="34"/>
        <v>1.3125316506155907E-3</v>
      </c>
      <c r="N174" s="29"/>
      <c r="O174" s="29"/>
      <c r="P174" s="29"/>
      <c r="Q174" s="375">
        <f t="shared" si="35"/>
        <v>889</v>
      </c>
      <c r="R174" s="6"/>
      <c r="S174" s="7">
        <f>32948+15934+4465</f>
        <v>53347</v>
      </c>
      <c r="T174" s="6"/>
      <c r="U174" s="286">
        <f t="shared" si="36"/>
        <v>7.8658991515852122E-2</v>
      </c>
      <c r="W174">
        <f t="shared" si="20"/>
        <v>164</v>
      </c>
      <c r="Y174" s="56"/>
    </row>
    <row r="175" spans="3:25" x14ac:dyDescent="0.3">
      <c r="C175" s="170">
        <f t="shared" si="15"/>
        <v>44074</v>
      </c>
      <c r="E175" s="284">
        <v>434756</v>
      </c>
      <c r="F175" s="7"/>
      <c r="G175" s="7">
        <v>191960</v>
      </c>
      <c r="H175" s="7"/>
      <c r="I175" s="7">
        <v>52879</v>
      </c>
      <c r="J175" s="287"/>
      <c r="K175" s="7">
        <f t="shared" si="33"/>
        <v>679595</v>
      </c>
      <c r="L175" s="6"/>
      <c r="M175" s="481">
        <f t="shared" si="34"/>
        <v>2.0480502974022643E-3</v>
      </c>
      <c r="N175" s="29"/>
      <c r="O175" s="29"/>
      <c r="P175" s="29"/>
      <c r="Q175" s="375">
        <f t="shared" si="35"/>
        <v>1389</v>
      </c>
      <c r="R175" s="6"/>
      <c r="S175" s="7">
        <f>32957+15945+4465</f>
        <v>53367</v>
      </c>
      <c r="T175" s="6"/>
      <c r="U175" s="286">
        <f t="shared" si="36"/>
        <v>7.8527652498914802E-2</v>
      </c>
      <c r="W175">
        <f t="shared" si="20"/>
        <v>165</v>
      </c>
      <c r="Y175" s="56"/>
    </row>
    <row r="176" spans="3:25" x14ac:dyDescent="0.3">
      <c r="C176" s="170">
        <f t="shared" si="15"/>
        <v>44075</v>
      </c>
      <c r="E176" s="284">
        <v>435510</v>
      </c>
      <c r="F176" s="7"/>
      <c r="G176" s="7">
        <v>192290</v>
      </c>
      <c r="H176" s="7"/>
      <c r="I176" s="7">
        <v>53006</v>
      </c>
      <c r="J176" s="287"/>
      <c r="K176" s="7">
        <f t="shared" si="33"/>
        <v>680806</v>
      </c>
      <c r="L176" s="6"/>
      <c r="M176" s="481">
        <f t="shared" si="34"/>
        <v>1.7819436576196118E-3</v>
      </c>
      <c r="N176" s="29"/>
      <c r="O176" s="29"/>
      <c r="P176" s="29"/>
      <c r="Q176" s="375">
        <f t="shared" si="35"/>
        <v>1211</v>
      </c>
      <c r="R176" s="6"/>
      <c r="S176" s="7">
        <f>32966+15950+4466</f>
        <v>53382</v>
      </c>
      <c r="T176" s="6"/>
      <c r="U176" s="286">
        <f t="shared" si="36"/>
        <v>7.8410002262024714E-2</v>
      </c>
      <c r="W176">
        <f t="shared" si="20"/>
        <v>166</v>
      </c>
      <c r="Y176" s="56"/>
    </row>
    <row r="177" spans="3:25" x14ac:dyDescent="0.3">
      <c r="C177" s="170">
        <f t="shared" si="15"/>
        <v>44076</v>
      </c>
      <c r="E177" s="284">
        <v>436218</v>
      </c>
      <c r="F177" s="7"/>
      <c r="G177" s="7">
        <v>192595</v>
      </c>
      <c r="H177" s="7"/>
      <c r="I177" s="7">
        <v>53108</v>
      </c>
      <c r="J177" s="287"/>
      <c r="K177" s="7">
        <f t="shared" si="33"/>
        <v>681921</v>
      </c>
      <c r="L177" s="6"/>
      <c r="M177" s="481">
        <f t="shared" si="34"/>
        <v>1.6377646495477419E-3</v>
      </c>
      <c r="N177" s="29"/>
      <c r="O177" s="29"/>
      <c r="P177" s="29"/>
      <c r="Q177" s="375">
        <f t="shared" si="35"/>
        <v>1115</v>
      </c>
      <c r="R177" s="6"/>
      <c r="S177" s="7">
        <f>32972+15964+4467</f>
        <v>53403</v>
      </c>
      <c r="T177" s="6"/>
      <c r="U177" s="286">
        <f t="shared" si="36"/>
        <v>7.8312590461358425E-2</v>
      </c>
      <c r="W177">
        <f t="shared" si="20"/>
        <v>167</v>
      </c>
      <c r="Y177" s="56"/>
    </row>
    <row r="178" spans="3:25" x14ac:dyDescent="0.3">
      <c r="C178" s="170">
        <f t="shared" si="15"/>
        <v>44077</v>
      </c>
      <c r="E178" s="284">
        <v>437107</v>
      </c>
      <c r="F178" s="7"/>
      <c r="G178" s="7">
        <v>192973</v>
      </c>
      <c r="H178" s="7"/>
      <c r="I178" s="7">
        <v>53209</v>
      </c>
      <c r="J178" s="287"/>
      <c r="K178" s="7">
        <f t="shared" si="33"/>
        <v>683289</v>
      </c>
      <c r="L178" s="6"/>
      <c r="M178" s="481">
        <f t="shared" si="34"/>
        <v>2.0060974804999407E-3</v>
      </c>
      <c r="N178" s="29"/>
      <c r="O178" s="29"/>
      <c r="P178" s="29"/>
      <c r="Q178" s="375">
        <f t="shared" si="35"/>
        <v>1368</v>
      </c>
      <c r="R178" s="6"/>
      <c r="S178" s="7">
        <f>32976+15971+4468</f>
        <v>53415</v>
      </c>
      <c r="T178" s="6"/>
      <c r="U178" s="286">
        <f t="shared" si="36"/>
        <v>7.8173364418276894E-2</v>
      </c>
      <c r="W178">
        <f t="shared" si="20"/>
        <v>168</v>
      </c>
      <c r="Y178" s="56"/>
    </row>
    <row r="179" spans="3:25" x14ac:dyDescent="0.3">
      <c r="C179" s="170">
        <f t="shared" si="15"/>
        <v>44078</v>
      </c>
      <c r="E179" s="284">
        <v>437562</v>
      </c>
      <c r="F179" s="7"/>
      <c r="G179" s="7">
        <v>193488</v>
      </c>
      <c r="H179" s="7"/>
      <c r="I179" s="7">
        <v>53274</v>
      </c>
      <c r="J179" s="287"/>
      <c r="K179" s="7">
        <f t="shared" si="33"/>
        <v>684324</v>
      </c>
      <c r="L179" s="6"/>
      <c r="M179" s="481">
        <f t="shared" si="34"/>
        <v>1.5147324192252474E-3</v>
      </c>
      <c r="N179" s="29"/>
      <c r="O179" s="29"/>
      <c r="P179" s="29"/>
      <c r="Q179" s="375">
        <f t="shared" si="35"/>
        <v>1035</v>
      </c>
      <c r="R179" s="6"/>
      <c r="S179" s="7">
        <f>32987+15985+4468</f>
        <v>53440</v>
      </c>
      <c r="T179" s="6"/>
      <c r="U179" s="286">
        <f t="shared" si="36"/>
        <v>7.8091664182463272E-2</v>
      </c>
      <c r="W179">
        <f t="shared" si="20"/>
        <v>169</v>
      </c>
      <c r="Y179" s="56"/>
    </row>
    <row r="180" spans="3:25" x14ac:dyDescent="0.3">
      <c r="C180" s="170">
        <f t="shared" si="15"/>
        <v>44079</v>
      </c>
      <c r="E180" s="284">
        <v>438772</v>
      </c>
      <c r="F180" s="7"/>
      <c r="G180" s="7">
        <v>193747</v>
      </c>
      <c r="H180" s="7"/>
      <c r="I180" s="7">
        <v>53365</v>
      </c>
      <c r="J180" s="287"/>
      <c r="K180" s="7">
        <f t="shared" si="33"/>
        <v>685884</v>
      </c>
      <c r="L180" s="6"/>
      <c r="M180" s="481">
        <f t="shared" si="34"/>
        <v>2.2796219334701106E-3</v>
      </c>
      <c r="N180" s="29"/>
      <c r="O180" s="29"/>
      <c r="P180" s="29"/>
      <c r="Q180" s="375">
        <f t="shared" si="35"/>
        <v>1560</v>
      </c>
      <c r="R180" s="6"/>
      <c r="S180" s="7">
        <f>32987+15985+4468</f>
        <v>53440</v>
      </c>
      <c r="T180" s="6"/>
      <c r="U180" s="286">
        <f t="shared" si="36"/>
        <v>7.791404960605583E-2</v>
      </c>
      <c r="W180">
        <f t="shared" si="20"/>
        <v>170</v>
      </c>
      <c r="Y180" s="56"/>
    </row>
    <row r="181" spans="3:25" x14ac:dyDescent="0.3">
      <c r="C181" s="170">
        <f t="shared" si="15"/>
        <v>44080</v>
      </c>
      <c r="E181" s="284">
        <v>439501</v>
      </c>
      <c r="F181" s="7"/>
      <c r="G181" s="7">
        <v>194058</v>
      </c>
      <c r="H181" s="7"/>
      <c r="I181" s="7">
        <v>53365</v>
      </c>
      <c r="J181" s="287"/>
      <c r="K181" s="7">
        <f t="shared" si="33"/>
        <v>686924</v>
      </c>
      <c r="L181" s="6"/>
      <c r="M181" s="481">
        <f t="shared" si="34"/>
        <v>1.5162913845489909E-3</v>
      </c>
      <c r="N181" s="29"/>
      <c r="O181" s="29"/>
      <c r="P181" s="29"/>
      <c r="Q181" s="375">
        <f t="shared" si="35"/>
        <v>1040</v>
      </c>
      <c r="R181" s="6"/>
      <c r="S181" s="7">
        <f>32987+15985+4468</f>
        <v>53440</v>
      </c>
      <c r="T181" s="6"/>
      <c r="U181" s="286">
        <f t="shared" si="36"/>
        <v>7.7796088067966757E-2</v>
      </c>
      <c r="W181">
        <f t="shared" si="20"/>
        <v>171</v>
      </c>
      <c r="Y181" s="56"/>
    </row>
    <row r="182" spans="3:25" x14ac:dyDescent="0.3">
      <c r="C182" s="170">
        <f t="shared" si="15"/>
        <v>44081</v>
      </c>
      <c r="E182" s="284">
        <v>440021</v>
      </c>
      <c r="F182" s="7"/>
      <c r="G182" s="7">
        <v>194390</v>
      </c>
      <c r="H182" s="7"/>
      <c r="I182" s="7">
        <v>53365</v>
      </c>
      <c r="J182" s="287"/>
      <c r="K182" s="7">
        <f t="shared" si="33"/>
        <v>687776</v>
      </c>
      <c r="L182" s="6"/>
      <c r="M182" s="481">
        <f t="shared" si="34"/>
        <v>1.24031188311953E-3</v>
      </c>
      <c r="N182" s="29"/>
      <c r="O182" s="29"/>
      <c r="P182" s="29"/>
      <c r="Q182" s="375">
        <f t="shared" si="35"/>
        <v>852</v>
      </c>
      <c r="R182" s="6"/>
      <c r="S182" s="7">
        <f>32987+15985+4468</f>
        <v>53440</v>
      </c>
      <c r="T182" s="6"/>
      <c r="U182" s="286">
        <f t="shared" si="36"/>
        <v>7.7699716186665421E-2</v>
      </c>
      <c r="W182">
        <f t="shared" si="20"/>
        <v>172</v>
      </c>
      <c r="Y182" s="56"/>
    </row>
    <row r="183" spans="3:25" x14ac:dyDescent="0.3">
      <c r="C183" s="170">
        <f t="shared" si="15"/>
        <v>44082</v>
      </c>
      <c r="E183" s="284">
        <v>440578</v>
      </c>
      <c r="F183" s="7"/>
      <c r="G183" s="7">
        <v>194667</v>
      </c>
      <c r="H183" s="7"/>
      <c r="I183" s="7">
        <v>53782</v>
      </c>
      <c r="J183" s="287"/>
      <c r="K183" s="7">
        <f t="shared" si="33"/>
        <v>689027</v>
      </c>
      <c r="L183" s="6"/>
      <c r="M183" s="481">
        <f t="shared" si="34"/>
        <v>1.818906155492486E-3</v>
      </c>
      <c r="N183" s="29"/>
      <c r="O183" s="29"/>
      <c r="P183" s="29"/>
      <c r="Q183" s="375">
        <f t="shared" si="35"/>
        <v>1251</v>
      </c>
      <c r="R183" s="6"/>
      <c r="S183" s="7">
        <f>33010+15996+4474</f>
        <v>53480</v>
      </c>
      <c r="T183" s="6"/>
      <c r="U183" s="286">
        <f t="shared" si="36"/>
        <v>7.7616697168616036E-2</v>
      </c>
      <c r="W183">
        <f t="shared" si="20"/>
        <v>173</v>
      </c>
      <c r="Y183" s="56"/>
    </row>
    <row r="184" spans="3:25" x14ac:dyDescent="0.3">
      <c r="C184" s="170">
        <f t="shared" si="15"/>
        <v>44083</v>
      </c>
      <c r="E184" s="284">
        <v>441154</v>
      </c>
      <c r="F184" s="7"/>
      <c r="G184" s="7">
        <v>194994</v>
      </c>
      <c r="H184" s="7"/>
      <c r="I184" s="7">
        <v>53871</v>
      </c>
      <c r="J184" s="287"/>
      <c r="K184" s="7">
        <f t="shared" ref="K184" si="37">SUM(E184:I184)</f>
        <v>690019</v>
      </c>
      <c r="L184" s="6"/>
      <c r="M184" s="481">
        <f t="shared" ref="M184" si="38">+(K184-K183)/K183</f>
        <v>1.4397113610932519E-3</v>
      </c>
      <c r="N184" s="29"/>
      <c r="O184" s="29"/>
      <c r="P184" s="29"/>
      <c r="Q184" s="375">
        <f t="shared" ref="Q184" si="39">+K184-K183</f>
        <v>992</v>
      </c>
      <c r="R184" s="6"/>
      <c r="S184" s="7">
        <f>33019+16008+4474</f>
        <v>53501</v>
      </c>
      <c r="T184" s="6"/>
      <c r="U184" s="286">
        <f t="shared" ref="U184" si="40">+S184/K184</f>
        <v>7.7535546122643004E-2</v>
      </c>
      <c r="W184">
        <f t="shared" si="20"/>
        <v>174</v>
      </c>
      <c r="Y184" s="56"/>
    </row>
    <row r="185" spans="3:25" x14ac:dyDescent="0.3">
      <c r="C185" s="170">
        <f t="shared" si="15"/>
        <v>44084</v>
      </c>
      <c r="E185" s="284">
        <v>441911</v>
      </c>
      <c r="F185" s="7"/>
      <c r="G185" s="7">
        <v>195414</v>
      </c>
      <c r="H185" s="7"/>
      <c r="I185" s="7">
        <v>54093</v>
      </c>
      <c r="J185" s="287"/>
      <c r="K185" s="7">
        <f t="shared" ref="K185" si="41">SUM(E185:I185)</f>
        <v>691418</v>
      </c>
      <c r="L185" s="6"/>
      <c r="M185" s="481">
        <f t="shared" ref="M185" si="42">+(K185-K184)/K184</f>
        <v>2.0274804027135486E-3</v>
      </c>
      <c r="N185" s="29"/>
      <c r="O185" s="29"/>
      <c r="P185" s="29"/>
      <c r="Q185" s="375">
        <f t="shared" ref="Q185" si="43">+K185-K184</f>
        <v>1399</v>
      </c>
      <c r="R185" s="6"/>
      <c r="S185" s="7">
        <f>33019+16008+4474</f>
        <v>53501</v>
      </c>
      <c r="T185" s="6"/>
      <c r="U185" s="286">
        <f t="shared" ref="U185" si="44">+S185/K185</f>
        <v>7.7378662401036705E-2</v>
      </c>
      <c r="W185">
        <f t="shared" si="20"/>
        <v>175</v>
      </c>
      <c r="Y185" s="56"/>
    </row>
    <row r="186" spans="3:25" x14ac:dyDescent="0.3">
      <c r="C186" s="170">
        <f t="shared" si="15"/>
        <v>44085</v>
      </c>
      <c r="E186" s="284">
        <v>442791</v>
      </c>
      <c r="F186" s="7"/>
      <c r="G186" s="7">
        <v>195888</v>
      </c>
      <c r="H186" s="7"/>
      <c r="I186" s="7">
        <v>54326</v>
      </c>
      <c r="J186" s="287"/>
      <c r="K186" s="7">
        <f t="shared" ref="K186" si="45">SUM(E186:I186)</f>
        <v>693005</v>
      </c>
      <c r="L186" s="6"/>
      <c r="M186" s="481">
        <f t="shared" ref="M186" si="46">+(K186-K185)/K185</f>
        <v>2.2952830270545461E-3</v>
      </c>
      <c r="N186" s="29"/>
      <c r="O186" s="29"/>
      <c r="P186" s="29"/>
      <c r="Q186" s="375">
        <f t="shared" ref="Q186" si="47">+K186-K185</f>
        <v>1587</v>
      </c>
      <c r="R186" s="6"/>
      <c r="S186" s="7">
        <f>33019+16008+4474</f>
        <v>53501</v>
      </c>
      <c r="T186" s="6"/>
      <c r="U186" s="286">
        <f t="shared" ref="U186" si="48">+S186/K186</f>
        <v>7.7201463192906258E-2</v>
      </c>
      <c r="W186">
        <f t="shared" si="20"/>
        <v>176</v>
      </c>
      <c r="Y186" s="56"/>
    </row>
    <row r="187" spans="3:25" x14ac:dyDescent="0.3">
      <c r="C187" s="170">
        <f t="shared" si="15"/>
        <v>44086</v>
      </c>
      <c r="E187" s="284">
        <v>443640</v>
      </c>
      <c r="F187" s="7"/>
      <c r="G187" s="7">
        <v>196337</v>
      </c>
      <c r="H187" s="7"/>
      <c r="I187" s="7">
        <v>54326</v>
      </c>
      <c r="J187" s="287"/>
      <c r="K187" s="7">
        <f t="shared" ref="K187" si="49">SUM(E187:I187)</f>
        <v>694303</v>
      </c>
      <c r="L187" s="6"/>
      <c r="M187" s="481">
        <f t="shared" ref="M187" si="50">+(K187-K186)/K186</f>
        <v>1.873002359290337E-3</v>
      </c>
      <c r="N187" s="29"/>
      <c r="O187" s="29"/>
      <c r="P187" s="29"/>
      <c r="Q187" s="375">
        <f t="shared" ref="Q187" si="51">+K187-K186</f>
        <v>1298</v>
      </c>
      <c r="R187" s="6"/>
      <c r="S187" s="7">
        <f>33023+16027+4480</f>
        <v>53530</v>
      </c>
      <c r="T187" s="6"/>
      <c r="U187" s="286">
        <f t="shared" ref="U187" si="52">+S187/K187</f>
        <v>7.7098903504665833E-2</v>
      </c>
      <c r="W187">
        <f t="shared" si="20"/>
        <v>177</v>
      </c>
      <c r="Y187" s="56"/>
    </row>
    <row r="188" spans="3:25" x14ac:dyDescent="0.3">
      <c r="C188" s="170">
        <f t="shared" si="15"/>
        <v>44087</v>
      </c>
      <c r="E188" s="284">
        <v>444366</v>
      </c>
      <c r="F188" s="7"/>
      <c r="G188" s="7">
        <v>196634</v>
      </c>
      <c r="H188" s="7"/>
      <c r="I188" s="7">
        <v>54326</v>
      </c>
      <c r="J188" s="287"/>
      <c r="K188" s="7">
        <f t="shared" ref="K188" si="53">SUM(E188:I188)</f>
        <v>695326</v>
      </c>
      <c r="L188" s="6"/>
      <c r="M188" s="481">
        <f t="shared" ref="M188" si="54">+(K188-K187)/K187</f>
        <v>1.4734201062072323E-3</v>
      </c>
      <c r="N188" s="29"/>
      <c r="O188" s="29"/>
      <c r="P188" s="29"/>
      <c r="Q188" s="375">
        <f t="shared" ref="Q188" si="55">+K188-K187</f>
        <v>1023</v>
      </c>
      <c r="R188" s="6"/>
      <c r="S188" s="7">
        <f>33023+16027+4480</f>
        <v>53530</v>
      </c>
      <c r="T188" s="6"/>
      <c r="U188" s="286">
        <f t="shared" ref="U188" si="56">+S188/K188</f>
        <v>7.6985471562979094E-2</v>
      </c>
      <c r="W188">
        <f t="shared" si="20"/>
        <v>178</v>
      </c>
      <c r="Y188" s="56"/>
    </row>
    <row r="189" spans="3:25" x14ac:dyDescent="0.3">
      <c r="C189" s="170">
        <f t="shared" si="15"/>
        <v>44088</v>
      </c>
      <c r="E189" s="284"/>
      <c r="F189" s="7"/>
      <c r="G189" s="7"/>
      <c r="H189" s="7"/>
      <c r="I189" s="7"/>
      <c r="J189" s="287"/>
      <c r="K189" s="7"/>
      <c r="L189" s="6"/>
      <c r="M189" s="481"/>
      <c r="N189" s="29"/>
      <c r="O189" s="29"/>
      <c r="P189" s="29"/>
      <c r="Q189" s="375"/>
      <c r="R189" s="6"/>
      <c r="S189" s="7"/>
      <c r="T189" s="6"/>
      <c r="U189" s="286"/>
      <c r="W189">
        <f t="shared" si="20"/>
        <v>179</v>
      </c>
      <c r="Y189" s="56"/>
    </row>
    <row r="190" spans="3:25" x14ac:dyDescent="0.3">
      <c r="C190" s="170">
        <f t="shared" si="15"/>
        <v>44089</v>
      </c>
      <c r="E190" s="284"/>
      <c r="F190" s="7"/>
      <c r="G190" s="7"/>
      <c r="H190" s="7"/>
      <c r="I190" s="7"/>
      <c r="J190" s="287"/>
      <c r="K190" s="7"/>
      <c r="L190" s="6"/>
      <c r="M190" s="481"/>
      <c r="N190" s="29"/>
      <c r="O190" s="29"/>
      <c r="P190" s="29"/>
      <c r="Q190" s="375"/>
      <c r="R190" s="6"/>
      <c r="S190" s="7"/>
      <c r="T190" s="6"/>
      <c r="U190" s="286"/>
      <c r="W190">
        <f t="shared" si="20"/>
        <v>180</v>
      </c>
      <c r="Y190" s="56"/>
    </row>
    <row r="191" spans="3:25" x14ac:dyDescent="0.3">
      <c r="C191" s="170">
        <f t="shared" si="15"/>
        <v>44090</v>
      </c>
      <c r="E191" s="284"/>
      <c r="F191" s="7"/>
      <c r="G191" s="7"/>
      <c r="H191" s="7"/>
      <c r="I191" s="7"/>
      <c r="J191" s="287"/>
      <c r="K191" s="7"/>
      <c r="L191" s="6"/>
      <c r="M191" s="481"/>
      <c r="N191" s="29"/>
      <c r="O191" s="29"/>
      <c r="P191" s="29"/>
      <c r="Q191" s="375"/>
      <c r="R191" s="6"/>
      <c r="S191" s="7"/>
      <c r="T191" s="6"/>
      <c r="U191" s="286"/>
      <c r="W191">
        <f t="shared" si="20"/>
        <v>181</v>
      </c>
      <c r="Y191" s="56"/>
    </row>
    <row r="192" spans="3:25" x14ac:dyDescent="0.3">
      <c r="C192" s="170">
        <f t="shared" si="15"/>
        <v>44091</v>
      </c>
      <c r="E192" s="284"/>
      <c r="F192" s="7"/>
      <c r="G192" s="7"/>
      <c r="H192" s="7"/>
      <c r="I192" s="7"/>
      <c r="J192" s="287"/>
      <c r="K192" s="7"/>
      <c r="L192" s="6"/>
      <c r="M192" s="481"/>
      <c r="N192" s="29"/>
      <c r="O192" s="29"/>
      <c r="P192" s="29"/>
      <c r="Q192" s="375"/>
      <c r="R192" s="6"/>
      <c r="S192" s="7"/>
      <c r="T192" s="6"/>
      <c r="U192" s="286"/>
      <c r="W192">
        <f t="shared" si="20"/>
        <v>182</v>
      </c>
      <c r="Y192" s="56"/>
    </row>
    <row r="193" spans="3:41" x14ac:dyDescent="0.3">
      <c r="C193" s="170">
        <f t="shared" si="15"/>
        <v>44092</v>
      </c>
      <c r="E193" s="284"/>
      <c r="F193" s="7"/>
      <c r="G193" s="7"/>
      <c r="H193" s="7"/>
      <c r="I193" s="7"/>
      <c r="J193" s="287"/>
      <c r="K193" s="7"/>
      <c r="L193" s="6"/>
      <c r="M193" s="474"/>
      <c r="N193" s="29"/>
      <c r="O193" s="29"/>
      <c r="P193" s="29"/>
      <c r="Q193" s="375"/>
      <c r="R193" s="6"/>
      <c r="S193" s="7"/>
      <c r="T193" s="6"/>
      <c r="U193" s="286"/>
      <c r="W193">
        <f t="shared" si="20"/>
        <v>183</v>
      </c>
      <c r="Y193" s="56"/>
    </row>
    <row r="194" spans="3:41" ht="15" thickBot="1" x14ac:dyDescent="0.35">
      <c r="C194" s="170">
        <f t="shared" si="15"/>
        <v>44093</v>
      </c>
      <c r="E194" s="288"/>
      <c r="F194" s="289"/>
      <c r="G194" s="289"/>
      <c r="H194" s="289"/>
      <c r="I194" s="289"/>
      <c r="J194" s="289"/>
      <c r="K194" s="289"/>
      <c r="L194" s="290"/>
      <c r="M194" s="291"/>
      <c r="N194" s="291"/>
      <c r="O194" s="291"/>
      <c r="P194" s="291"/>
      <c r="Q194" s="374"/>
      <c r="R194" s="290"/>
      <c r="S194" s="290"/>
      <c r="T194" s="290"/>
      <c r="U194" s="292"/>
      <c r="W194">
        <f t="shared" si="20"/>
        <v>184</v>
      </c>
      <c r="Y194" s="59"/>
    </row>
    <row r="195" spans="3:41" x14ac:dyDescent="0.3">
      <c r="E195" s="56"/>
      <c r="F195" s="1"/>
      <c r="G195" s="56"/>
      <c r="H195" s="56"/>
      <c r="I195" s="56"/>
      <c r="J195" s="1"/>
      <c r="K195" s="56"/>
      <c r="S195" s="56"/>
    </row>
    <row r="196" spans="3:41" x14ac:dyDescent="0.3">
      <c r="C196" s="179" t="s">
        <v>81</v>
      </c>
      <c r="E196" s="56">
        <f>+E188</f>
        <v>444366</v>
      </c>
      <c r="F196" s="56"/>
      <c r="G196" s="56">
        <f t="shared" ref="G196:U196" si="57">+G188</f>
        <v>196634</v>
      </c>
      <c r="H196" s="56">
        <f t="shared" si="57"/>
        <v>0</v>
      </c>
      <c r="I196" s="56">
        <f t="shared" si="57"/>
        <v>54326</v>
      </c>
      <c r="J196" s="56">
        <f t="shared" si="57"/>
        <v>0</v>
      </c>
      <c r="K196" s="56">
        <f t="shared" si="57"/>
        <v>695326</v>
      </c>
      <c r="L196" s="56">
        <f t="shared" si="57"/>
        <v>0</v>
      </c>
      <c r="M196" s="56">
        <f t="shared" si="57"/>
        <v>1.4734201062072323E-3</v>
      </c>
      <c r="N196" s="56">
        <f t="shared" si="57"/>
        <v>0</v>
      </c>
      <c r="O196" s="56">
        <f t="shared" si="57"/>
        <v>0</v>
      </c>
      <c r="P196" s="56">
        <f t="shared" si="57"/>
        <v>0</v>
      </c>
      <c r="Q196" s="56">
        <f t="shared" si="57"/>
        <v>1023</v>
      </c>
      <c r="R196" s="56">
        <f t="shared" si="57"/>
        <v>0</v>
      </c>
      <c r="S196" s="56">
        <f t="shared" si="57"/>
        <v>53530</v>
      </c>
      <c r="T196" s="56">
        <f t="shared" si="57"/>
        <v>0</v>
      </c>
      <c r="U196" s="56">
        <f t="shared" si="57"/>
        <v>7.6985471562979094E-2</v>
      </c>
    </row>
    <row r="197" spans="3:41" x14ac:dyDescent="0.3">
      <c r="E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</row>
    <row r="198" spans="3:41" x14ac:dyDescent="0.3">
      <c r="E198" s="59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</row>
    <row r="199" spans="3:41" x14ac:dyDescent="0.3">
      <c r="C199" s="123"/>
      <c r="D199" s="124"/>
      <c r="E199" s="392"/>
      <c r="F199" s="10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</row>
    <row r="200" spans="3:41" x14ac:dyDescent="0.3">
      <c r="E200" s="56"/>
      <c r="K200" s="56"/>
      <c r="Q200" s="56"/>
    </row>
    <row r="201" spans="3:41" x14ac:dyDescent="0.3">
      <c r="Q201" s="56"/>
      <c r="S201" s="59"/>
    </row>
    <row r="204" spans="3:41" x14ac:dyDescent="0.3">
      <c r="AO204" s="1">
        <v>3797000</v>
      </c>
    </row>
    <row r="205" spans="3:41" x14ac:dyDescent="0.3">
      <c r="C205" s="1"/>
    </row>
    <row r="206" spans="3:41" x14ac:dyDescent="0.3">
      <c r="C206" s="1"/>
      <c r="AO206" s="1">
        <v>30000</v>
      </c>
    </row>
    <row r="207" spans="3:41" x14ac:dyDescent="0.3">
      <c r="C207" s="59"/>
    </row>
    <row r="208" spans="3:41" x14ac:dyDescent="0.3">
      <c r="AO208" s="277">
        <f>+AO206/AO204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188"/>
  <sheetViews>
    <sheetView topLeftCell="A16" workbookViewId="0">
      <selection activeCell="I21" sqref="I21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8" t="s">
        <v>5</v>
      </c>
      <c r="C1" s="258"/>
      <c r="D1" s="258"/>
    </row>
    <row r="2" spans="2:30" ht="16.2" thickBot="1" x14ac:dyDescent="0.35">
      <c r="B2" s="258" t="s">
        <v>6</v>
      </c>
      <c r="C2" s="258"/>
      <c r="D2" s="258"/>
    </row>
    <row r="3" spans="2:30" ht="16.2" thickBot="1" x14ac:dyDescent="0.35">
      <c r="B3" s="256" t="s">
        <v>13</v>
      </c>
      <c r="C3" s="256"/>
      <c r="D3" s="166"/>
      <c r="T3" s="687" t="s">
        <v>114</v>
      </c>
      <c r="U3" s="688"/>
      <c r="V3" s="688"/>
      <c r="W3" s="688"/>
      <c r="X3" s="688"/>
      <c r="Y3" s="688"/>
      <c r="Z3" s="688"/>
      <c r="AA3" s="688"/>
      <c r="AB3" s="688"/>
      <c r="AC3" s="688"/>
      <c r="AD3" s="689"/>
    </row>
    <row r="4" spans="2:30" ht="15.6" x14ac:dyDescent="0.3">
      <c r="B4" s="256"/>
      <c r="C4" s="256"/>
      <c r="D4" s="166"/>
      <c r="T4" s="497"/>
      <c r="U4" s="498" t="s">
        <v>78</v>
      </c>
      <c r="V4" s="499"/>
      <c r="W4" s="498" t="s">
        <v>106</v>
      </c>
      <c r="X4" s="500"/>
      <c r="Y4" s="498" t="s">
        <v>107</v>
      </c>
      <c r="Z4" s="500"/>
      <c r="AA4" s="498" t="s">
        <v>73</v>
      </c>
      <c r="AB4" s="499"/>
      <c r="AC4" s="501" t="s">
        <v>15</v>
      </c>
      <c r="AD4" s="502"/>
    </row>
    <row r="5" spans="2:30" ht="15.6" x14ac:dyDescent="0.3">
      <c r="B5" s="256"/>
      <c r="C5" t="s">
        <v>92</v>
      </c>
      <c r="D5" s="166"/>
      <c r="E5" t="s">
        <v>93</v>
      </c>
      <c r="T5" s="293"/>
      <c r="U5" s="6"/>
      <c r="V5" s="6"/>
      <c r="W5" s="6"/>
      <c r="X5" s="6"/>
      <c r="Y5" s="6"/>
      <c r="Z5" s="6"/>
      <c r="AA5" s="6"/>
      <c r="AB5" s="6"/>
      <c r="AC5" s="6"/>
      <c r="AD5" s="294"/>
    </row>
    <row r="6" spans="2:30" ht="15.6" x14ac:dyDescent="0.3">
      <c r="B6" s="256"/>
      <c r="C6" s="256"/>
      <c r="D6" s="169"/>
      <c r="E6" t="s">
        <v>94</v>
      </c>
      <c r="F6" t="s">
        <v>111</v>
      </c>
      <c r="T6" s="293"/>
      <c r="U6" s="295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4"/>
    </row>
    <row r="7" spans="2:30" ht="15.6" x14ac:dyDescent="0.3">
      <c r="B7" s="256"/>
      <c r="C7" s="256"/>
      <c r="D7" s="169"/>
      <c r="E7" t="s">
        <v>95</v>
      </c>
      <c r="F7" t="s">
        <v>97</v>
      </c>
      <c r="T7" s="293"/>
      <c r="U7" s="295">
        <f>+U6+1</f>
        <v>43952</v>
      </c>
      <c r="V7" s="6"/>
      <c r="W7" s="7">
        <v>432831</v>
      </c>
      <c r="X7" s="6"/>
      <c r="Y7" s="44">
        <v>0.38300000000000001</v>
      </c>
      <c r="Z7" s="6"/>
      <c r="AA7" s="297">
        <f t="shared" ref="AA7:AA19" si="0">+W6-W7</f>
        <v>-5097</v>
      </c>
      <c r="AB7" s="6"/>
      <c r="AC7" s="6"/>
      <c r="AD7" s="294"/>
    </row>
    <row r="8" spans="2:30" ht="15.6" x14ac:dyDescent="0.3">
      <c r="B8" s="256"/>
      <c r="C8" s="256"/>
      <c r="D8" s="169"/>
      <c r="E8" t="s">
        <v>96</v>
      </c>
      <c r="F8" t="s">
        <v>112</v>
      </c>
      <c r="T8" s="293"/>
      <c r="U8" s="295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7">
        <f t="shared" si="0"/>
        <v>-681</v>
      </c>
      <c r="AB8" s="6"/>
      <c r="AC8" s="6"/>
      <c r="AD8" s="294"/>
    </row>
    <row r="9" spans="2:30" ht="15.6" x14ac:dyDescent="0.3">
      <c r="B9" s="256"/>
      <c r="C9" s="256"/>
      <c r="D9" s="169"/>
      <c r="S9" s="472"/>
      <c r="T9" s="293"/>
      <c r="U9" s="295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7">
        <f t="shared" si="0"/>
        <v>-833</v>
      </c>
      <c r="AB9" s="6"/>
      <c r="AC9" s="6"/>
      <c r="AD9" s="294"/>
    </row>
    <row r="10" spans="2:30" ht="15.6" x14ac:dyDescent="0.3">
      <c r="B10" s="256"/>
      <c r="C10" s="278" t="s">
        <v>98</v>
      </c>
      <c r="D10" s="169"/>
      <c r="E10" t="s">
        <v>101</v>
      </c>
      <c r="T10" s="293"/>
      <c r="U10" s="295">
        <f t="shared" si="1"/>
        <v>43955</v>
      </c>
      <c r="V10" s="6"/>
      <c r="W10" s="7">
        <v>458962</v>
      </c>
      <c r="X10" s="6"/>
      <c r="Y10" s="44">
        <v>0.378</v>
      </c>
      <c r="Z10" s="6"/>
      <c r="AA10" s="297">
        <f t="shared" si="0"/>
        <v>-24617</v>
      </c>
      <c r="AB10" s="6"/>
      <c r="AC10" s="6"/>
      <c r="AD10" s="294"/>
    </row>
    <row r="11" spans="2:30" ht="15.6" x14ac:dyDescent="0.3">
      <c r="B11" s="256"/>
      <c r="C11" s="256"/>
      <c r="D11" s="169"/>
      <c r="E11" t="s">
        <v>94</v>
      </c>
      <c r="F11" t="s">
        <v>99</v>
      </c>
      <c r="T11" s="293"/>
      <c r="U11" s="295">
        <f t="shared" si="1"/>
        <v>43956</v>
      </c>
      <c r="V11" s="6"/>
      <c r="W11" s="296">
        <v>455743</v>
      </c>
      <c r="X11" s="6"/>
      <c r="Y11" s="44">
        <v>0.36799999999999999</v>
      </c>
      <c r="Z11" s="6"/>
      <c r="AA11" s="297">
        <f t="shared" si="0"/>
        <v>3219</v>
      </c>
      <c r="AB11" s="6"/>
      <c r="AC11" s="301"/>
      <c r="AD11" s="294"/>
    </row>
    <row r="12" spans="2:30" ht="15.6" x14ac:dyDescent="0.3">
      <c r="B12" s="256"/>
      <c r="C12" s="256"/>
      <c r="D12" s="169"/>
      <c r="E12" t="s">
        <v>95</v>
      </c>
      <c r="F12" t="s">
        <v>100</v>
      </c>
      <c r="T12" s="293"/>
      <c r="U12" s="295">
        <f t="shared" si="1"/>
        <v>43957</v>
      </c>
      <c r="V12" s="6"/>
      <c r="W12" s="296">
        <v>454697</v>
      </c>
      <c r="X12" s="6"/>
      <c r="Y12" s="44">
        <f>+L$36</f>
        <v>5.7533796348351048E-2</v>
      </c>
      <c r="Z12" s="6"/>
      <c r="AA12" s="297">
        <f t="shared" si="0"/>
        <v>1046</v>
      </c>
      <c r="AB12" s="6"/>
      <c r="AC12" s="301"/>
      <c r="AD12" s="294"/>
    </row>
    <row r="13" spans="2:30" ht="15.6" x14ac:dyDescent="0.3">
      <c r="B13" s="256"/>
      <c r="C13" s="256"/>
      <c r="D13" s="169"/>
      <c r="T13" s="293"/>
      <c r="U13" s="295">
        <f t="shared" si="1"/>
        <v>43958</v>
      </c>
      <c r="V13" s="6"/>
      <c r="W13" s="296">
        <v>454838</v>
      </c>
      <c r="X13" s="6"/>
      <c r="Y13" s="44">
        <f>+L37</f>
        <v>0</v>
      </c>
      <c r="Z13" s="6"/>
      <c r="AA13" s="297">
        <f t="shared" si="0"/>
        <v>-141</v>
      </c>
      <c r="AB13" s="6"/>
      <c r="AC13" s="301"/>
      <c r="AD13" s="294"/>
    </row>
    <row r="14" spans="2:30" ht="15.6" x14ac:dyDescent="0.3">
      <c r="B14" s="256"/>
      <c r="C14" s="278" t="s">
        <v>102</v>
      </c>
      <c r="D14" s="169"/>
      <c r="E14" t="s">
        <v>103</v>
      </c>
      <c r="T14" s="293"/>
      <c r="U14" s="295">
        <f t="shared" si="1"/>
        <v>43959</v>
      </c>
      <c r="V14" s="6"/>
      <c r="W14" s="296">
        <v>452043</v>
      </c>
      <c r="X14" s="6"/>
      <c r="Y14" s="44">
        <f>+L38</f>
        <v>0</v>
      </c>
      <c r="Z14" s="6"/>
      <c r="AA14" s="297">
        <f t="shared" si="0"/>
        <v>2795</v>
      </c>
      <c r="AB14" s="6"/>
      <c r="AC14" s="301"/>
      <c r="AD14" s="294"/>
    </row>
    <row r="15" spans="2:30" x14ac:dyDescent="0.3">
      <c r="B15" s="256"/>
      <c r="E15" s="690" t="s">
        <v>104</v>
      </c>
      <c r="F15" s="690"/>
      <c r="G15" s="690"/>
      <c r="H15" s="690"/>
      <c r="I15" s="690"/>
      <c r="T15" s="293"/>
      <c r="U15" s="295">
        <f t="shared" si="1"/>
        <v>43960</v>
      </c>
      <c r="V15" s="6"/>
      <c r="W15" s="296">
        <v>439209</v>
      </c>
      <c r="X15" s="6"/>
      <c r="Y15" s="44">
        <f>+L40</f>
        <v>0</v>
      </c>
      <c r="Z15" s="6"/>
      <c r="AA15" s="297">
        <f t="shared" si="0"/>
        <v>12834</v>
      </c>
      <c r="AB15" s="6"/>
      <c r="AC15" s="301"/>
      <c r="AD15" s="294"/>
    </row>
    <row r="16" spans="2:30" x14ac:dyDescent="0.3">
      <c r="S16" s="472"/>
      <c r="T16" s="293"/>
      <c r="U16" s="295">
        <f t="shared" si="1"/>
        <v>43961</v>
      </c>
      <c r="V16" s="6"/>
      <c r="W16" s="296">
        <v>423501</v>
      </c>
      <c r="X16" s="6"/>
      <c r="Y16" s="44">
        <f>+L41</f>
        <v>0</v>
      </c>
      <c r="Z16" s="6"/>
      <c r="AA16" s="297">
        <f t="shared" si="0"/>
        <v>15708</v>
      </c>
      <c r="AB16" s="6"/>
      <c r="AC16" s="301"/>
      <c r="AD16" s="294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3"/>
      <c r="U17" s="295">
        <f t="shared" si="1"/>
        <v>43962</v>
      </c>
      <c r="V17" s="6"/>
      <c r="W17" s="296">
        <v>415158</v>
      </c>
      <c r="X17" s="6"/>
      <c r="Y17" s="44">
        <f>+L42</f>
        <v>0</v>
      </c>
      <c r="Z17" s="6"/>
      <c r="AA17" s="297">
        <f t="shared" si="0"/>
        <v>8343</v>
      </c>
      <c r="AB17" s="6"/>
      <c r="AC17" s="301"/>
      <c r="AD17" s="294"/>
    </row>
    <row r="18" spans="3:30" ht="15" thickBot="1" x14ac:dyDescent="0.35">
      <c r="C18" s="1"/>
      <c r="D18" s="696" t="s">
        <v>46</v>
      </c>
      <c r="E18" s="697"/>
      <c r="F18" s="697"/>
      <c r="G18" s="697"/>
      <c r="H18" s="697"/>
      <c r="I18" s="697"/>
      <c r="J18" s="697"/>
      <c r="K18" s="697"/>
      <c r="L18" s="697"/>
      <c r="M18" s="697"/>
      <c r="N18" s="697"/>
      <c r="O18" s="698"/>
      <c r="P18" s="90"/>
      <c r="Q18" s="90"/>
      <c r="R18" s="90"/>
      <c r="S18" s="90"/>
      <c r="T18" s="293"/>
      <c r="U18" s="295">
        <f t="shared" si="1"/>
        <v>43963</v>
      </c>
      <c r="V18" s="6"/>
      <c r="W18" s="296">
        <v>413524</v>
      </c>
      <c r="X18" s="6"/>
      <c r="Y18" s="44">
        <f>+L43</f>
        <v>0</v>
      </c>
      <c r="Z18" s="6"/>
      <c r="AA18" s="297">
        <f t="shared" si="0"/>
        <v>1634</v>
      </c>
      <c r="AB18" s="6"/>
      <c r="AC18" s="301"/>
      <c r="AD18" s="294"/>
    </row>
    <row r="19" spans="3:30" ht="15" thickBot="1" x14ac:dyDescent="0.35">
      <c r="C19" s="1"/>
      <c r="D19" s="145"/>
      <c r="E19" s="699" t="s">
        <v>75</v>
      </c>
      <c r="F19" s="699"/>
      <c r="G19" s="699"/>
      <c r="H19" s="699"/>
      <c r="I19" s="146" t="s">
        <v>74</v>
      </c>
      <c r="J19" s="147"/>
      <c r="K19" s="704" t="s">
        <v>72</v>
      </c>
      <c r="L19" s="704"/>
      <c r="M19" s="140"/>
      <c r="N19" s="144" t="s">
        <v>73</v>
      </c>
      <c r="O19" s="141"/>
      <c r="P19" s="114"/>
      <c r="Q19" s="114"/>
      <c r="R19" s="114"/>
      <c r="S19" s="114"/>
      <c r="T19" s="293"/>
      <c r="U19" s="295">
        <f t="shared" si="1"/>
        <v>43964</v>
      </c>
      <c r="V19" s="6"/>
      <c r="W19" s="296">
        <v>410932</v>
      </c>
      <c r="X19" s="6"/>
      <c r="Y19" s="44">
        <f>+L44</f>
        <v>0</v>
      </c>
      <c r="Z19" s="6"/>
      <c r="AA19" s="297">
        <f t="shared" si="0"/>
        <v>2592</v>
      </c>
      <c r="AB19" s="6"/>
      <c r="AC19" s="301"/>
      <c r="AD19" s="294"/>
    </row>
    <row r="20" spans="3:30" x14ac:dyDescent="0.3">
      <c r="C20" s="1"/>
      <c r="D20" s="125"/>
      <c r="E20" s="126" t="s">
        <v>134</v>
      </c>
      <c r="F20" s="127"/>
      <c r="G20" s="126"/>
      <c r="H20" s="126"/>
      <c r="I20" s="93">
        <f>+'Main Table'!H177</f>
        <v>6334199</v>
      </c>
      <c r="J20" s="128"/>
      <c r="K20" s="139"/>
      <c r="L20" s="139"/>
      <c r="M20" s="139"/>
      <c r="N20" s="139"/>
      <c r="O20" s="135"/>
      <c r="P20" s="90"/>
      <c r="Q20" s="90"/>
      <c r="R20" s="90"/>
      <c r="S20" s="90"/>
      <c r="T20" s="293"/>
      <c r="U20" s="295">
        <f t="shared" si="1"/>
        <v>43965</v>
      </c>
      <c r="V20" s="6"/>
      <c r="W20" s="296">
        <v>409640</v>
      </c>
      <c r="X20" s="6"/>
      <c r="Y20" s="44">
        <v>0</v>
      </c>
      <c r="Z20" s="6"/>
      <c r="AA20" s="297">
        <f t="shared" ref="AA20:AA51" si="2">+W19-W20</f>
        <v>1292</v>
      </c>
      <c r="AB20" s="6"/>
      <c r="AC20" s="301"/>
      <c r="AD20" s="294"/>
    </row>
    <row r="21" spans="3:30" x14ac:dyDescent="0.3">
      <c r="C21" s="1"/>
      <c r="D21" s="125"/>
      <c r="E21" s="126" t="s">
        <v>44</v>
      </c>
      <c r="F21" s="126" t="s">
        <v>4</v>
      </c>
      <c r="G21" s="126"/>
      <c r="H21" s="126"/>
      <c r="I21" s="129">
        <f>+'Main Table'!AA190</f>
        <v>198520</v>
      </c>
      <c r="J21" s="128"/>
      <c r="K21" s="139"/>
      <c r="L21" s="139"/>
      <c r="M21" s="139"/>
      <c r="N21" s="139"/>
      <c r="O21" s="135"/>
      <c r="P21" s="90"/>
      <c r="Q21" s="90"/>
      <c r="R21" s="90"/>
      <c r="S21" s="90"/>
      <c r="T21" s="293"/>
      <c r="U21" s="295">
        <f t="shared" si="1"/>
        <v>43966</v>
      </c>
      <c r="V21" s="6"/>
      <c r="W21" s="296">
        <v>405327</v>
      </c>
      <c r="X21" s="6"/>
      <c r="Y21" s="44">
        <v>0.27300000000000002</v>
      </c>
      <c r="Z21" s="6"/>
      <c r="AA21" s="297">
        <f t="shared" si="2"/>
        <v>4313</v>
      </c>
      <c r="AB21" s="6"/>
      <c r="AC21" s="301"/>
      <c r="AD21" s="294"/>
    </row>
    <row r="22" spans="3:30" x14ac:dyDescent="0.3">
      <c r="C22" s="1"/>
      <c r="D22" s="125"/>
      <c r="E22" s="126"/>
      <c r="F22" s="126" t="s">
        <v>45</v>
      </c>
      <c r="G22" s="126"/>
      <c r="H22" s="126"/>
      <c r="I22" s="158">
        <v>14113</v>
      </c>
      <c r="J22" s="128"/>
      <c r="K22" s="139"/>
      <c r="L22" s="281">
        <v>14366</v>
      </c>
      <c r="M22" s="139"/>
      <c r="N22" s="159">
        <f>+(I22-L22)/I22</f>
        <v>-1.7926734216679657E-2</v>
      </c>
      <c r="O22" s="135"/>
      <c r="P22" s="90"/>
      <c r="Q22" s="90"/>
      <c r="R22" s="90"/>
      <c r="S22" s="90"/>
      <c r="T22" s="293"/>
      <c r="U22" s="295">
        <f t="shared" si="1"/>
        <v>43967</v>
      </c>
      <c r="V22" s="6"/>
      <c r="W22" s="296">
        <v>393991</v>
      </c>
      <c r="X22" s="6"/>
      <c r="Y22" s="44">
        <v>0.26100000000000001</v>
      </c>
      <c r="Z22" s="6"/>
      <c r="AA22" s="297">
        <f t="shared" si="2"/>
        <v>11336</v>
      </c>
      <c r="AB22" s="6"/>
      <c r="AC22" s="301"/>
      <c r="AD22" s="294"/>
    </row>
    <row r="23" spans="3:30" x14ac:dyDescent="0.3">
      <c r="C23" s="1"/>
      <c r="D23" s="125"/>
      <c r="E23" s="126"/>
      <c r="F23" s="136" t="s">
        <v>70</v>
      </c>
      <c r="G23" s="136"/>
      <c r="H23" s="136"/>
      <c r="I23" s="129">
        <f>+I20-I21-I22</f>
        <v>6121566</v>
      </c>
      <c r="J23" s="128"/>
      <c r="K23" s="139"/>
      <c r="L23" s="139"/>
      <c r="M23" s="139"/>
      <c r="N23" s="139"/>
      <c r="O23" s="135"/>
      <c r="P23" s="113"/>
      <c r="Q23" s="113"/>
      <c r="R23" s="113"/>
      <c r="S23" s="473"/>
      <c r="T23" s="293"/>
      <c r="U23" s="295">
        <f t="shared" si="1"/>
        <v>43968</v>
      </c>
      <c r="V23" s="6"/>
      <c r="W23" s="296">
        <v>384245</v>
      </c>
      <c r="X23" s="6"/>
      <c r="Y23" s="44">
        <v>0.251</v>
      </c>
      <c r="Z23" s="6"/>
      <c r="AA23" s="297">
        <f t="shared" si="2"/>
        <v>9746</v>
      </c>
      <c r="AB23" s="6"/>
      <c r="AC23" s="301"/>
      <c r="AD23" s="294"/>
    </row>
    <row r="24" spans="3:30" x14ac:dyDescent="0.3">
      <c r="C24" s="1"/>
      <c r="D24" s="125"/>
      <c r="E24" s="126" t="s">
        <v>77</v>
      </c>
      <c r="F24" s="128"/>
      <c r="G24" s="128"/>
      <c r="H24" s="128"/>
      <c r="I24" s="130">
        <f>+'Main Table'!AP190</f>
        <v>3974949</v>
      </c>
      <c r="J24" s="128"/>
      <c r="K24" s="139"/>
      <c r="L24" s="139"/>
      <c r="M24" s="139"/>
      <c r="N24" s="139"/>
      <c r="O24" s="135"/>
      <c r="P24" s="113"/>
      <c r="Q24" s="113"/>
      <c r="R24" s="113"/>
      <c r="S24" s="113"/>
      <c r="T24" s="293"/>
      <c r="U24" s="295">
        <f t="shared" si="1"/>
        <v>43969</v>
      </c>
      <c r="V24" s="6"/>
      <c r="W24" s="296">
        <v>379527</v>
      </c>
      <c r="X24" s="6"/>
      <c r="Y24" s="44">
        <v>0.245</v>
      </c>
      <c r="Z24" s="6"/>
      <c r="AA24" s="297">
        <f t="shared" si="2"/>
        <v>4718</v>
      </c>
      <c r="AB24" s="6"/>
      <c r="AC24" s="301"/>
      <c r="AD24" s="294"/>
    </row>
    <row r="25" spans="3:30" x14ac:dyDescent="0.3">
      <c r="C25" s="1"/>
      <c r="D25" s="700" t="s">
        <v>49</v>
      </c>
      <c r="E25" s="701"/>
      <c r="F25" s="701"/>
      <c r="G25" s="701"/>
      <c r="H25" s="701"/>
      <c r="I25" s="131">
        <f>+I23-I24</f>
        <v>2146617</v>
      </c>
      <c r="J25" s="128"/>
      <c r="K25" s="139"/>
      <c r="L25" s="139"/>
      <c r="M25" s="139"/>
      <c r="N25" s="139"/>
      <c r="O25" s="135"/>
      <c r="P25" s="113"/>
      <c r="Q25" s="113"/>
      <c r="R25" s="113"/>
      <c r="S25" s="113"/>
      <c r="T25" s="293"/>
      <c r="U25" s="295">
        <f t="shared" si="1"/>
        <v>43970</v>
      </c>
      <c r="V25" s="6"/>
      <c r="W25" s="296">
        <v>375997</v>
      </c>
      <c r="X25" s="6"/>
      <c r="Y25" s="44">
        <v>0.23899999999999999</v>
      </c>
      <c r="Z25" s="6"/>
      <c r="AA25" s="297">
        <f t="shared" si="2"/>
        <v>3530</v>
      </c>
      <c r="AB25" s="6"/>
      <c r="AC25" s="301"/>
      <c r="AD25" s="294"/>
    </row>
    <row r="26" spans="3:30" x14ac:dyDescent="0.3">
      <c r="C26" s="1"/>
      <c r="D26" s="125"/>
      <c r="E26" s="126" t="s">
        <v>71</v>
      </c>
      <c r="F26" s="128"/>
      <c r="G26" s="128"/>
      <c r="H26" s="128"/>
      <c r="I26" s="130">
        <f>+I24</f>
        <v>3974949</v>
      </c>
      <c r="J26" s="128"/>
      <c r="K26" s="139"/>
      <c r="L26" s="139"/>
      <c r="M26" s="139"/>
      <c r="N26" s="139"/>
      <c r="O26" s="135"/>
      <c r="P26" s="90"/>
      <c r="Q26" s="90"/>
      <c r="R26" s="90"/>
      <c r="S26" s="90"/>
      <c r="T26" s="293"/>
      <c r="U26" s="295">
        <f t="shared" si="1"/>
        <v>43971</v>
      </c>
      <c r="V26" s="6"/>
      <c r="W26" s="296">
        <v>373168</v>
      </c>
      <c r="X26" s="6"/>
      <c r="Y26" s="44">
        <v>0.23400000000000001</v>
      </c>
      <c r="Z26" s="6"/>
      <c r="AA26" s="297">
        <f t="shared" si="2"/>
        <v>2829</v>
      </c>
      <c r="AB26" s="6"/>
      <c r="AC26" s="301"/>
      <c r="AD26" s="294"/>
    </row>
    <row r="27" spans="3:30" ht="15" thickBot="1" x14ac:dyDescent="0.35">
      <c r="C27" s="1"/>
      <c r="D27" s="700" t="s">
        <v>46</v>
      </c>
      <c r="E27" s="701"/>
      <c r="F27" s="701"/>
      <c r="G27" s="701"/>
      <c r="H27" s="701"/>
      <c r="I27" s="148">
        <f>+I25+I26</f>
        <v>6121566</v>
      </c>
      <c r="J27" s="128"/>
      <c r="K27" s="705">
        <v>6076241</v>
      </c>
      <c r="L27" s="705"/>
      <c r="M27" s="139"/>
      <c r="N27" s="149">
        <f>+I27-K27</f>
        <v>45325</v>
      </c>
      <c r="O27" s="135"/>
      <c r="P27" s="90"/>
      <c r="Q27" s="90"/>
      <c r="R27" s="90"/>
      <c r="S27" s="90"/>
      <c r="T27" s="293"/>
      <c r="U27" s="295">
        <f t="shared" si="1"/>
        <v>43972</v>
      </c>
      <c r="V27" s="6"/>
      <c r="W27" s="296">
        <v>346181</v>
      </c>
      <c r="X27" s="6"/>
      <c r="Y27" s="44">
        <v>0.214</v>
      </c>
      <c r="Z27" s="6"/>
      <c r="AA27" s="297">
        <f t="shared" si="2"/>
        <v>26987</v>
      </c>
      <c r="AB27" s="6"/>
      <c r="AC27" s="301"/>
      <c r="AD27" s="294"/>
    </row>
    <row r="28" spans="3:30" ht="15.6" thickTop="1" thickBot="1" x14ac:dyDescent="0.35">
      <c r="C28" s="10"/>
      <c r="D28" s="134"/>
      <c r="E28" s="702" t="s">
        <v>69</v>
      </c>
      <c r="F28" s="702"/>
      <c r="G28" s="702"/>
      <c r="H28" s="136"/>
      <c r="I28" s="274">
        <f>+I27/I32</f>
        <v>0.91286243073638718</v>
      </c>
      <c r="J28" s="139"/>
      <c r="K28" s="139"/>
      <c r="L28" s="139"/>
      <c r="M28" s="110"/>
      <c r="N28" s="506">
        <f>+N27/K27</f>
        <v>7.4593815485593804E-3</v>
      </c>
      <c r="O28" s="135"/>
      <c r="P28" s="1"/>
      <c r="Q28" s="1"/>
      <c r="R28" s="1"/>
      <c r="S28" s="1"/>
      <c r="T28" s="293"/>
      <c r="U28" s="295">
        <f t="shared" si="1"/>
        <v>43973</v>
      </c>
      <c r="V28" s="6"/>
      <c r="W28" s="296">
        <v>341216</v>
      </c>
      <c r="X28" s="6"/>
      <c r="Y28" s="44">
        <v>0.20699999999999999</v>
      </c>
      <c r="Z28" s="6"/>
      <c r="AA28" s="297">
        <f t="shared" si="2"/>
        <v>4965</v>
      </c>
      <c r="AB28" s="6"/>
      <c r="AC28" s="301"/>
      <c r="AD28" s="294"/>
    </row>
    <row r="29" spans="3:30" ht="15.6" thickTop="1" thickBot="1" x14ac:dyDescent="0.35">
      <c r="C29" s="10"/>
      <c r="D29" s="132"/>
      <c r="E29" s="137"/>
      <c r="F29" s="137"/>
      <c r="G29" s="137"/>
      <c r="H29" s="137"/>
      <c r="I29" s="138"/>
      <c r="J29" s="133"/>
      <c r="K29" s="142"/>
      <c r="L29" s="142"/>
      <c r="M29" s="142"/>
      <c r="N29" s="142"/>
      <c r="O29" s="143"/>
      <c r="P29" s="1"/>
      <c r="Q29" s="1"/>
      <c r="R29" s="1"/>
      <c r="S29" s="1"/>
      <c r="T29" s="293"/>
      <c r="U29" s="295">
        <f t="shared" si="1"/>
        <v>43974</v>
      </c>
      <c r="V29" s="6"/>
      <c r="W29" s="296">
        <v>336852</v>
      </c>
      <c r="X29" s="6"/>
      <c r="Y29" s="44">
        <v>0.20200000000000001</v>
      </c>
      <c r="Z29" s="6"/>
      <c r="AA29" s="297">
        <f t="shared" si="2"/>
        <v>4364</v>
      </c>
      <c r="AB29" s="6"/>
      <c r="AC29" s="301"/>
      <c r="AD29" s="294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69"/>
      <c r="T30" s="293"/>
      <c r="U30" s="295">
        <f t="shared" si="1"/>
        <v>43975</v>
      </c>
      <c r="V30" s="6"/>
      <c r="W30" s="296">
        <v>336142</v>
      </c>
      <c r="X30" s="6"/>
      <c r="Y30" s="44">
        <v>0.19900000000000001</v>
      </c>
      <c r="Z30" s="6"/>
      <c r="AA30" s="297">
        <f t="shared" si="2"/>
        <v>710</v>
      </c>
      <c r="AB30" s="6"/>
      <c r="AC30" s="301"/>
      <c r="AD30" s="294"/>
    </row>
    <row r="31" spans="3:30" ht="16.2" thickBot="1" x14ac:dyDescent="0.35">
      <c r="C31" s="90"/>
      <c r="D31" s="272"/>
      <c r="E31" s="681" t="s">
        <v>114</v>
      </c>
      <c r="F31" s="682"/>
      <c r="G31" s="682"/>
      <c r="H31" s="682"/>
      <c r="I31" s="682"/>
      <c r="J31" s="683"/>
      <c r="K31" s="271"/>
      <c r="L31" s="270" t="s">
        <v>10</v>
      </c>
      <c r="M31" s="269"/>
      <c r="N31" s="268"/>
      <c r="O31" s="110"/>
      <c r="P31" s="90"/>
      <c r="Q31" s="90"/>
      <c r="R31" s="90"/>
      <c r="S31" s="90"/>
      <c r="T31" s="293"/>
      <c r="U31" s="295">
        <f t="shared" si="1"/>
        <v>43976</v>
      </c>
      <c r="V31" s="6"/>
      <c r="W31" s="296">
        <v>337736</v>
      </c>
      <c r="X31" s="6"/>
      <c r="Y31" s="44">
        <v>0.19800000000000001</v>
      </c>
      <c r="Z31" s="6"/>
      <c r="AA31" s="297">
        <f t="shared" si="2"/>
        <v>-1594</v>
      </c>
      <c r="AB31" s="6"/>
      <c r="AC31" s="301"/>
      <c r="AD31" s="294"/>
    </row>
    <row r="32" spans="3:30" x14ac:dyDescent="0.3">
      <c r="C32" s="10"/>
      <c r="D32" s="259"/>
      <c r="E32" s="260" t="s">
        <v>88</v>
      </c>
      <c r="F32" s="24"/>
      <c r="G32" s="24"/>
      <c r="H32" s="24"/>
      <c r="I32" s="676">
        <f>+'Main Table'!H190</f>
        <v>6705902</v>
      </c>
      <c r="J32" s="676"/>
      <c r="K32" s="24"/>
      <c r="L32" s="25">
        <f>+I32/$I$32</f>
        <v>1</v>
      </c>
      <c r="M32" s="261"/>
      <c r="N32" s="90"/>
      <c r="O32" s="90"/>
      <c r="P32" s="90"/>
      <c r="Q32" s="90"/>
      <c r="R32" s="90"/>
      <c r="S32" s="90"/>
      <c r="T32" s="293"/>
      <c r="U32" s="295">
        <f t="shared" si="1"/>
        <v>43977</v>
      </c>
      <c r="V32" s="6"/>
      <c r="W32" s="296">
        <v>333791</v>
      </c>
      <c r="X32" s="6"/>
      <c r="Y32" s="44">
        <v>0.193</v>
      </c>
      <c r="Z32" s="6"/>
      <c r="AA32" s="297">
        <f t="shared" si="2"/>
        <v>3945</v>
      </c>
      <c r="AB32" s="6"/>
      <c r="AC32" s="301"/>
      <c r="AD32" s="294"/>
    </row>
    <row r="33" spans="3:30" x14ac:dyDescent="0.3">
      <c r="C33" s="10"/>
      <c r="D33" s="259"/>
      <c r="E33" s="260"/>
      <c r="F33" s="24"/>
      <c r="G33" s="24"/>
      <c r="H33" s="24"/>
      <c r="I33" s="24"/>
      <c r="J33" s="24"/>
      <c r="K33" s="24"/>
      <c r="L33" s="24"/>
      <c r="M33" s="261"/>
      <c r="N33" s="90"/>
      <c r="O33" s="90"/>
      <c r="P33" s="90"/>
      <c r="Q33" s="90"/>
      <c r="R33" s="90"/>
      <c r="S33" s="90"/>
      <c r="T33" s="293"/>
      <c r="U33" s="295">
        <f t="shared" si="1"/>
        <v>43978</v>
      </c>
      <c r="V33" s="6"/>
      <c r="W33" s="296">
        <v>332639</v>
      </c>
      <c r="X33" s="6"/>
      <c r="Y33" s="44">
        <v>0.191</v>
      </c>
      <c r="Z33" s="6"/>
      <c r="AA33" s="297">
        <f t="shared" si="2"/>
        <v>1152</v>
      </c>
      <c r="AB33" s="6"/>
      <c r="AC33" s="301"/>
      <c r="AD33" s="294"/>
    </row>
    <row r="34" spans="3:30" x14ac:dyDescent="0.3">
      <c r="D34" s="262"/>
      <c r="E34" s="22"/>
      <c r="F34" s="263" t="s">
        <v>113</v>
      </c>
      <c r="G34" s="263"/>
      <c r="H34" s="22"/>
      <c r="I34" s="677">
        <f>+I27</f>
        <v>6121566</v>
      </c>
      <c r="J34" s="678"/>
      <c r="K34" s="22"/>
      <c r="L34" s="25">
        <f>+I34/$I$32</f>
        <v>0.91286243073638718</v>
      </c>
      <c r="M34" s="264"/>
      <c r="P34" s="232"/>
      <c r="Q34" s="232"/>
      <c r="R34" s="232"/>
      <c r="S34" s="232"/>
      <c r="T34" s="293"/>
      <c r="U34" s="295">
        <f t="shared" si="1"/>
        <v>43979</v>
      </c>
      <c r="V34" s="6"/>
      <c r="W34" s="296">
        <v>328088</v>
      </c>
      <c r="X34" s="6"/>
      <c r="Y34" s="44">
        <v>0.186</v>
      </c>
      <c r="Z34" s="6"/>
      <c r="AA34" s="297">
        <f t="shared" si="2"/>
        <v>4551</v>
      </c>
      <c r="AB34" s="6"/>
      <c r="AC34" s="301"/>
      <c r="AD34" s="294"/>
    </row>
    <row r="35" spans="3:30" x14ac:dyDescent="0.3">
      <c r="D35" s="262"/>
      <c r="E35" s="22"/>
      <c r="F35" s="22" t="s">
        <v>89</v>
      </c>
      <c r="G35" s="22"/>
      <c r="H35" s="22"/>
      <c r="I35" s="684">
        <f>+I21</f>
        <v>198520</v>
      </c>
      <c r="J35" s="685"/>
      <c r="K35" s="22"/>
      <c r="L35" s="25">
        <f>+I35/$I$32</f>
        <v>2.9603772915261811E-2</v>
      </c>
      <c r="M35" s="264"/>
      <c r="P35" s="273"/>
      <c r="Q35" s="273"/>
      <c r="R35" s="273"/>
      <c r="S35" s="273"/>
      <c r="T35" s="293"/>
      <c r="U35" s="295">
        <f t="shared" si="1"/>
        <v>43980</v>
      </c>
      <c r="V35" s="6"/>
      <c r="W35" s="296">
        <v>326426</v>
      </c>
      <c r="X35" s="6"/>
      <c r="Y35" s="44">
        <v>0.182</v>
      </c>
      <c r="Z35" s="6"/>
      <c r="AA35" s="297">
        <f t="shared" si="2"/>
        <v>1662</v>
      </c>
      <c r="AB35" s="6"/>
      <c r="AC35" s="301"/>
      <c r="AD35" s="294"/>
    </row>
    <row r="36" spans="3:30" ht="15" thickBot="1" x14ac:dyDescent="0.35">
      <c r="D36" s="262"/>
      <c r="E36" s="703" t="s">
        <v>114</v>
      </c>
      <c r="F36" s="703"/>
      <c r="G36" s="703"/>
      <c r="H36" s="275"/>
      <c r="I36" s="679">
        <f>+I32-I34-I35</f>
        <v>385816</v>
      </c>
      <c r="J36" s="680"/>
      <c r="K36" s="302"/>
      <c r="L36" s="276">
        <f>+I36/$I$32</f>
        <v>5.7533796348351048E-2</v>
      </c>
      <c r="M36" s="264"/>
      <c r="T36" s="293"/>
      <c r="U36" s="295">
        <f t="shared" si="1"/>
        <v>43981</v>
      </c>
      <c r="V36" s="6"/>
      <c r="W36" s="296">
        <v>326228</v>
      </c>
      <c r="X36" s="6"/>
      <c r="Y36" s="44">
        <v>0.16900000000000001</v>
      </c>
      <c r="Z36" s="6"/>
      <c r="AA36" s="297">
        <f t="shared" si="2"/>
        <v>198</v>
      </c>
      <c r="AB36" s="6"/>
      <c r="AC36" s="301"/>
      <c r="AD36" s="294"/>
    </row>
    <row r="37" spans="3:30" ht="15.6" thickTop="1" thickBot="1" x14ac:dyDescent="0.35">
      <c r="D37" s="265"/>
      <c r="E37" s="266"/>
      <c r="F37" s="266"/>
      <c r="G37" s="266"/>
      <c r="H37" s="266"/>
      <c r="I37" s="266"/>
      <c r="J37" s="266"/>
      <c r="K37" s="266"/>
      <c r="L37" s="266"/>
      <c r="M37" s="267"/>
      <c r="S37" s="472"/>
      <c r="T37" s="293"/>
      <c r="U37" s="295">
        <f t="shared" si="1"/>
        <v>43982</v>
      </c>
      <c r="V37" s="6"/>
      <c r="W37" s="296">
        <v>303951</v>
      </c>
      <c r="X37" s="6"/>
      <c r="Y37" s="44">
        <v>0.16500000000000001</v>
      </c>
      <c r="Z37" s="6"/>
      <c r="AA37" s="297">
        <f t="shared" si="2"/>
        <v>22277</v>
      </c>
      <c r="AB37" s="6"/>
      <c r="AC37" s="301"/>
      <c r="AD37" s="294"/>
    </row>
    <row r="38" spans="3:30" x14ac:dyDescent="0.3">
      <c r="T38" s="293"/>
      <c r="U38" s="295">
        <f t="shared" si="1"/>
        <v>43983</v>
      </c>
      <c r="V38" s="6"/>
      <c r="W38" s="296">
        <v>305817</v>
      </c>
      <c r="X38" s="6"/>
      <c r="Y38" s="44">
        <v>0.16400000000000001</v>
      </c>
      <c r="Z38" s="6"/>
      <c r="AA38" s="297">
        <f t="shared" si="2"/>
        <v>-1866</v>
      </c>
      <c r="AB38" s="6"/>
      <c r="AC38" s="301"/>
      <c r="AD38" s="294"/>
    </row>
    <row r="39" spans="3:30" x14ac:dyDescent="0.3">
      <c r="T39" s="293"/>
      <c r="U39" s="295">
        <f t="shared" si="1"/>
        <v>43984</v>
      </c>
      <c r="V39" s="6"/>
      <c r="W39" s="296">
        <v>305724</v>
      </c>
      <c r="X39" s="6"/>
      <c r="Y39" s="44">
        <v>0.16300000000000001</v>
      </c>
      <c r="Z39" s="6"/>
      <c r="AA39" s="297">
        <f t="shared" si="2"/>
        <v>93</v>
      </c>
      <c r="AB39" s="6"/>
      <c r="AC39" s="301"/>
      <c r="AD39" s="294"/>
    </row>
    <row r="40" spans="3:30" ht="15" thickBot="1" x14ac:dyDescent="0.35">
      <c r="T40" s="293"/>
      <c r="U40" s="295">
        <f t="shared" si="1"/>
        <v>43985</v>
      </c>
      <c r="V40" s="6"/>
      <c r="W40" s="296">
        <v>297824</v>
      </c>
      <c r="X40" s="6"/>
      <c r="Y40" s="44">
        <v>0.157</v>
      </c>
      <c r="Z40" s="6"/>
      <c r="AA40" s="297">
        <f t="shared" si="2"/>
        <v>7900</v>
      </c>
      <c r="AB40" s="6"/>
      <c r="AC40" s="301"/>
      <c r="AD40" s="294"/>
    </row>
    <row r="41" spans="3:30" ht="15" thickBot="1" x14ac:dyDescent="0.35">
      <c r="D41" s="691" t="s">
        <v>127</v>
      </c>
      <c r="E41" s="692"/>
      <c r="F41" s="692"/>
      <c r="G41" s="692"/>
      <c r="H41" s="692"/>
      <c r="I41" s="692"/>
      <c r="J41" s="692"/>
      <c r="K41" s="692"/>
      <c r="L41" s="692"/>
      <c r="M41" s="692"/>
      <c r="N41" s="692"/>
      <c r="O41" s="693"/>
      <c r="T41" s="293"/>
      <c r="U41" s="295">
        <f t="shared" si="1"/>
        <v>43986</v>
      </c>
      <c r="V41" s="6"/>
      <c r="W41" s="296">
        <v>296183</v>
      </c>
      <c r="X41" s="6"/>
      <c r="Y41" s="44">
        <v>0.154</v>
      </c>
      <c r="Z41" s="6"/>
      <c r="AA41" s="297">
        <f t="shared" si="2"/>
        <v>1641</v>
      </c>
      <c r="AB41" s="6"/>
      <c r="AC41" s="301"/>
      <c r="AD41" s="294"/>
    </row>
    <row r="42" spans="3:30" ht="15" thickBot="1" x14ac:dyDescent="0.35">
      <c r="D42" s="320"/>
      <c r="E42" s="694" t="s">
        <v>75</v>
      </c>
      <c r="F42" s="694"/>
      <c r="G42" s="694"/>
      <c r="H42" s="694"/>
      <c r="I42" s="303" t="s">
        <v>74</v>
      </c>
      <c r="J42" s="304"/>
      <c r="K42" s="695" t="s">
        <v>37</v>
      </c>
      <c r="L42" s="695"/>
      <c r="M42" s="305"/>
      <c r="N42" s="306" t="s">
        <v>73</v>
      </c>
      <c r="O42" s="321"/>
      <c r="T42" s="293"/>
      <c r="U42" s="295">
        <f t="shared" si="1"/>
        <v>43987</v>
      </c>
      <c r="V42" s="6"/>
      <c r="W42" s="296">
        <v>299564</v>
      </c>
      <c r="X42" s="6"/>
      <c r="Y42" s="44">
        <v>0.154</v>
      </c>
      <c r="Z42" s="6"/>
      <c r="AA42" s="297">
        <f t="shared" si="2"/>
        <v>-3381</v>
      </c>
      <c r="AB42" s="6"/>
      <c r="AC42" s="301"/>
      <c r="AD42" s="294"/>
    </row>
    <row r="43" spans="3:30" x14ac:dyDescent="0.3">
      <c r="D43" s="322"/>
      <c r="E43" s="307" t="s">
        <v>43</v>
      </c>
      <c r="F43" s="308"/>
      <c r="G43" s="307"/>
      <c r="H43" s="307"/>
      <c r="I43" s="379">
        <v>25405</v>
      </c>
      <c r="J43" s="379"/>
      <c r="K43" s="380"/>
      <c r="L43" s="380"/>
      <c r="M43" s="380"/>
      <c r="N43" s="380"/>
      <c r="O43" s="314"/>
      <c r="T43" s="293"/>
      <c r="U43" s="295">
        <f t="shared" si="1"/>
        <v>43988</v>
      </c>
      <c r="V43" s="6"/>
      <c r="W43" s="296">
        <v>299553</v>
      </c>
      <c r="X43" s="6"/>
      <c r="Y43" s="44">
        <v>0.154</v>
      </c>
      <c r="Z43" s="6"/>
      <c r="AA43" s="297">
        <f t="shared" si="2"/>
        <v>11</v>
      </c>
      <c r="AB43" s="6"/>
      <c r="AC43" s="301"/>
      <c r="AD43" s="294"/>
    </row>
    <row r="44" spans="3:30" x14ac:dyDescent="0.3">
      <c r="D44" s="322"/>
      <c r="E44" s="307" t="s">
        <v>44</v>
      </c>
      <c r="F44" s="307" t="s">
        <v>4</v>
      </c>
      <c r="G44" s="307"/>
      <c r="H44" s="307"/>
      <c r="I44" s="379">
        <v>1836</v>
      </c>
      <c r="J44" s="379"/>
      <c r="K44" s="380"/>
      <c r="L44" s="380"/>
      <c r="M44" s="380"/>
      <c r="N44" s="380"/>
      <c r="O44" s="314"/>
      <c r="T44" s="293"/>
      <c r="U44" s="295">
        <f t="shared" si="1"/>
        <v>43989</v>
      </c>
      <c r="V44" s="6"/>
      <c r="W44" s="296">
        <v>301798</v>
      </c>
      <c r="X44" s="6"/>
      <c r="Y44" s="44">
        <v>0.152</v>
      </c>
      <c r="Z44" s="6"/>
      <c r="AA44" s="297">
        <f t="shared" si="2"/>
        <v>-2245</v>
      </c>
      <c r="AB44" s="6"/>
      <c r="AC44" s="301"/>
      <c r="AD44" s="294"/>
    </row>
    <row r="45" spans="3:30" x14ac:dyDescent="0.3">
      <c r="D45" s="322"/>
      <c r="E45" s="307"/>
      <c r="F45" s="307" t="s">
        <v>45</v>
      </c>
      <c r="G45" s="307"/>
      <c r="H45" s="307"/>
      <c r="I45" s="381">
        <v>1397</v>
      </c>
      <c r="J45" s="379"/>
      <c r="K45" s="380"/>
      <c r="L45" s="379"/>
      <c r="M45" s="380"/>
      <c r="N45" s="382"/>
      <c r="O45" s="314"/>
      <c r="T45" s="293"/>
      <c r="U45" s="295">
        <f t="shared" si="1"/>
        <v>43990</v>
      </c>
      <c r="V45" s="6"/>
      <c r="W45" s="296">
        <v>301795</v>
      </c>
      <c r="X45" s="6"/>
      <c r="Y45" s="44">
        <v>0.15</v>
      </c>
      <c r="Z45" s="6"/>
      <c r="AA45" s="297">
        <f t="shared" si="2"/>
        <v>3</v>
      </c>
      <c r="AB45" s="6"/>
      <c r="AC45" s="301"/>
      <c r="AD45" s="294"/>
    </row>
    <row r="46" spans="3:30" x14ac:dyDescent="0.3">
      <c r="D46" s="322"/>
      <c r="E46" s="307"/>
      <c r="F46" s="311" t="s">
        <v>70</v>
      </c>
      <c r="G46" s="311"/>
      <c r="H46" s="311"/>
      <c r="I46" s="379">
        <f>+I43-I44-I45</f>
        <v>22172</v>
      </c>
      <c r="J46" s="379"/>
      <c r="K46" s="380"/>
      <c r="L46" s="380"/>
      <c r="M46" s="380"/>
      <c r="N46" s="380"/>
      <c r="O46" s="314"/>
      <c r="T46" s="293"/>
      <c r="U46" s="295">
        <f t="shared" si="1"/>
        <v>43991</v>
      </c>
      <c r="V46" s="6"/>
      <c r="W46" s="296">
        <v>300305</v>
      </c>
      <c r="X46" s="6"/>
      <c r="Y46" s="44">
        <v>0.14799999999999999</v>
      </c>
      <c r="Z46" s="6"/>
      <c r="AA46" s="297">
        <f t="shared" si="2"/>
        <v>1490</v>
      </c>
      <c r="AB46" s="6"/>
      <c r="AC46" s="301"/>
      <c r="AD46" s="294"/>
    </row>
    <row r="47" spans="3:30" x14ac:dyDescent="0.3">
      <c r="D47" s="322"/>
      <c r="E47" s="307" t="s">
        <v>77</v>
      </c>
      <c r="F47" s="309"/>
      <c r="G47" s="309"/>
      <c r="H47" s="309"/>
      <c r="I47" s="381">
        <f>+'Main Table'!AP208</f>
        <v>1970617</v>
      </c>
      <c r="J47" s="379"/>
      <c r="K47" s="380"/>
      <c r="L47" s="380"/>
      <c r="M47" s="380"/>
      <c r="N47" s="380"/>
      <c r="O47" s="314"/>
      <c r="T47" s="293"/>
      <c r="U47" s="295">
        <f t="shared" si="1"/>
        <v>43992</v>
      </c>
      <c r="V47" s="6"/>
      <c r="W47" s="296">
        <v>298430</v>
      </c>
      <c r="X47" s="6"/>
      <c r="Y47" s="44">
        <v>0.14599999999999999</v>
      </c>
      <c r="Z47" s="6"/>
      <c r="AA47" s="297">
        <f t="shared" si="2"/>
        <v>1875</v>
      </c>
      <c r="AB47" s="6"/>
      <c r="AC47" s="301"/>
      <c r="AD47" s="294"/>
    </row>
    <row r="48" spans="3:30" x14ac:dyDescent="0.3">
      <c r="D48" s="660" t="s">
        <v>49</v>
      </c>
      <c r="E48" s="661"/>
      <c r="F48" s="661"/>
      <c r="G48" s="661"/>
      <c r="H48" s="661"/>
      <c r="I48" s="312">
        <f>+I46-I47</f>
        <v>-1948445</v>
      </c>
      <c r="J48" s="379"/>
      <c r="K48" s="380"/>
      <c r="L48" s="380"/>
      <c r="M48" s="380"/>
      <c r="N48" s="380"/>
      <c r="O48" s="314"/>
      <c r="T48" s="293"/>
      <c r="U48" s="295">
        <f t="shared" si="1"/>
        <v>43993</v>
      </c>
      <c r="V48" s="6"/>
      <c r="W48" s="296">
        <v>296204</v>
      </c>
      <c r="X48" s="6"/>
      <c r="Y48" s="44">
        <v>0.14199999999999999</v>
      </c>
      <c r="Z48" s="6"/>
      <c r="AA48" s="297">
        <f t="shared" si="2"/>
        <v>2226</v>
      </c>
      <c r="AB48" s="6"/>
      <c r="AC48" s="301"/>
      <c r="AD48" s="294"/>
    </row>
    <row r="49" spans="4:32" x14ac:dyDescent="0.3">
      <c r="D49" s="322"/>
      <c r="E49" s="307" t="s">
        <v>71</v>
      </c>
      <c r="F49" s="309"/>
      <c r="G49" s="309"/>
      <c r="H49" s="309"/>
      <c r="I49" s="381">
        <f>+I47</f>
        <v>1970617</v>
      </c>
      <c r="J49" s="379"/>
      <c r="K49" s="380"/>
      <c r="L49" s="380"/>
      <c r="M49" s="380"/>
      <c r="N49" s="380"/>
      <c r="O49" s="314"/>
      <c r="T49" s="293"/>
      <c r="U49" s="295">
        <f t="shared" si="1"/>
        <v>43994</v>
      </c>
      <c r="V49" s="6"/>
      <c r="W49" s="296">
        <v>300135</v>
      </c>
      <c r="X49" s="6"/>
      <c r="Y49" s="44">
        <v>0.14199999999999999</v>
      </c>
      <c r="Z49" s="6"/>
      <c r="AA49" s="297">
        <f t="shared" si="2"/>
        <v>-3931</v>
      </c>
      <c r="AB49" s="6"/>
      <c r="AC49" s="301"/>
      <c r="AD49" s="294"/>
    </row>
    <row r="50" spans="4:32" ht="15" thickBot="1" x14ac:dyDescent="0.35">
      <c r="D50" s="660" t="s">
        <v>46</v>
      </c>
      <c r="E50" s="661"/>
      <c r="F50" s="661"/>
      <c r="G50" s="661"/>
      <c r="H50" s="661"/>
      <c r="I50" s="383">
        <f>+I48+I49</f>
        <v>22172</v>
      </c>
      <c r="J50" s="379"/>
      <c r="K50" s="662">
        <v>30167</v>
      </c>
      <c r="L50" s="662"/>
      <c r="M50" s="380"/>
      <c r="N50" s="384">
        <f>+K50-I50</f>
        <v>7995</v>
      </c>
      <c r="O50" s="314"/>
      <c r="T50" s="293"/>
      <c r="U50" s="295">
        <f t="shared" si="1"/>
        <v>43995</v>
      </c>
      <c r="V50" s="6"/>
      <c r="W50" s="296">
        <v>305087</v>
      </c>
      <c r="X50" s="6"/>
      <c r="Y50" s="44">
        <v>0.14199999999999999</v>
      </c>
      <c r="Z50" s="6"/>
      <c r="AA50" s="297">
        <f t="shared" si="2"/>
        <v>-4952</v>
      </c>
      <c r="AB50" s="6"/>
      <c r="AC50" s="301"/>
      <c r="AD50" s="294"/>
    </row>
    <row r="51" spans="4:32" ht="15.6" thickTop="1" thickBot="1" x14ac:dyDescent="0.35">
      <c r="D51" s="313"/>
      <c r="E51" s="663" t="s">
        <v>69</v>
      </c>
      <c r="F51" s="663"/>
      <c r="G51" s="663"/>
      <c r="H51" s="311"/>
      <c r="I51" s="385">
        <f>+I50/K50</f>
        <v>0.73497530414028578</v>
      </c>
      <c r="J51" s="380"/>
      <c r="K51" s="380"/>
      <c r="L51" s="380"/>
      <c r="M51" s="380"/>
      <c r="N51" s="386">
        <f>+N50/K50</f>
        <v>0.26502469585971428</v>
      </c>
      <c r="O51" s="314"/>
      <c r="S51" s="56"/>
      <c r="T51" s="293"/>
      <c r="U51" s="295">
        <f>+U50+1</f>
        <v>43996</v>
      </c>
      <c r="V51" s="6"/>
      <c r="W51" s="296">
        <v>302731</v>
      </c>
      <c r="X51" s="6"/>
      <c r="Y51" s="44">
        <v>0.14000000000000001</v>
      </c>
      <c r="Z51" s="6"/>
      <c r="AA51" s="297">
        <f t="shared" si="2"/>
        <v>2356</v>
      </c>
      <c r="AB51" s="6"/>
      <c r="AC51" s="301"/>
      <c r="AD51" s="294"/>
    </row>
    <row r="52" spans="4:32" ht="15.6" thickTop="1" thickBot="1" x14ac:dyDescent="0.35">
      <c r="D52" s="323"/>
      <c r="E52" s="324"/>
      <c r="F52" s="324"/>
      <c r="G52" s="324"/>
      <c r="H52" s="324"/>
      <c r="I52" s="387"/>
      <c r="J52" s="388"/>
      <c r="K52" s="389"/>
      <c r="L52" s="389"/>
      <c r="M52" s="389"/>
      <c r="N52" s="389"/>
      <c r="O52" s="317"/>
      <c r="T52" s="293"/>
      <c r="U52" s="295">
        <f t="shared" ref="U52:U152" si="3">+U51+1</f>
        <v>43997</v>
      </c>
      <c r="V52" s="6"/>
      <c r="W52" s="296">
        <v>301583</v>
      </c>
      <c r="X52" s="6"/>
      <c r="Y52" s="44">
        <v>0.13800000000000001</v>
      </c>
      <c r="Z52" s="6"/>
      <c r="AA52" s="297">
        <f t="shared" ref="AA52:AA63" si="4">+W51-W52</f>
        <v>1148</v>
      </c>
      <c r="AB52" s="6"/>
      <c r="AC52" s="301"/>
      <c r="AD52" s="294"/>
    </row>
    <row r="53" spans="4:32" ht="15" thickBot="1" x14ac:dyDescent="0.35">
      <c r="D53" s="90"/>
      <c r="E53" s="151"/>
      <c r="F53" s="151"/>
      <c r="G53" s="151"/>
      <c r="H53" s="151"/>
      <c r="I53" s="353"/>
      <c r="J53" s="90"/>
      <c r="K53" s="110"/>
      <c r="L53" s="110"/>
      <c r="M53" s="359"/>
      <c r="N53" s="110"/>
      <c r="O53" s="110"/>
      <c r="P53" s="61"/>
      <c r="Q53" s="61"/>
      <c r="R53" s="61"/>
      <c r="T53" s="293"/>
      <c r="U53" s="295">
        <f t="shared" si="3"/>
        <v>43998</v>
      </c>
      <c r="V53" s="6"/>
      <c r="W53" s="296">
        <v>306362</v>
      </c>
      <c r="X53" s="6"/>
      <c r="Y53" s="44">
        <v>0.13900000000000001</v>
      </c>
      <c r="Z53" s="6"/>
      <c r="AA53" s="297">
        <f t="shared" si="4"/>
        <v>-4779</v>
      </c>
      <c r="AB53" s="6"/>
      <c r="AC53" s="301"/>
      <c r="AD53" s="294"/>
    </row>
    <row r="54" spans="4:32" ht="16.2" thickBot="1" x14ac:dyDescent="0.35">
      <c r="D54" s="360"/>
      <c r="E54" s="664" t="s">
        <v>128</v>
      </c>
      <c r="F54" s="665"/>
      <c r="G54" s="665"/>
      <c r="H54" s="665"/>
      <c r="I54" s="665"/>
      <c r="J54" s="666"/>
      <c r="K54" s="361"/>
      <c r="L54" s="364" t="s">
        <v>10</v>
      </c>
      <c r="M54" s="363"/>
      <c r="N54" s="110"/>
      <c r="O54" s="110"/>
      <c r="P54" s="61"/>
      <c r="Q54" s="61"/>
      <c r="R54" s="61"/>
      <c r="T54" s="293"/>
      <c r="U54" s="295">
        <f t="shared" si="3"/>
        <v>43999</v>
      </c>
      <c r="V54" s="6"/>
      <c r="W54" s="296">
        <v>310165</v>
      </c>
      <c r="X54" s="6"/>
      <c r="Y54" s="44">
        <v>0.13900000000000001</v>
      </c>
      <c r="Z54" s="6"/>
      <c r="AA54" s="297">
        <f t="shared" si="4"/>
        <v>-3803</v>
      </c>
      <c r="AB54" s="6"/>
      <c r="AC54" s="301"/>
      <c r="AD54" s="294"/>
    </row>
    <row r="55" spans="4:32" x14ac:dyDescent="0.3">
      <c r="D55" s="322"/>
      <c r="E55" s="354" t="s">
        <v>88</v>
      </c>
      <c r="F55" s="309"/>
      <c r="G55" s="309"/>
      <c r="H55" s="309"/>
      <c r="I55" s="667">
        <f>+K50</f>
        <v>30167</v>
      </c>
      <c r="J55" s="667"/>
      <c r="K55" s="309"/>
      <c r="L55" s="355">
        <f>+I55/$I$55</f>
        <v>1</v>
      </c>
      <c r="M55" s="362"/>
      <c r="N55" s="110"/>
      <c r="O55" s="110"/>
      <c r="P55" s="61"/>
      <c r="Q55" s="61"/>
      <c r="R55" s="61"/>
      <c r="T55" s="293"/>
      <c r="U55" s="295">
        <f t="shared" si="3"/>
        <v>44000</v>
      </c>
      <c r="V55" s="6"/>
      <c r="W55" s="296">
        <v>321504</v>
      </c>
      <c r="X55" s="6"/>
      <c r="Y55" s="44">
        <v>0.13800000000000001</v>
      </c>
      <c r="Z55" s="6"/>
      <c r="AA55" s="297">
        <f t="shared" si="4"/>
        <v>-11339</v>
      </c>
      <c r="AB55" s="6"/>
      <c r="AC55" s="301"/>
      <c r="AD55" s="294"/>
    </row>
    <row r="56" spans="4:32" x14ac:dyDescent="0.3">
      <c r="D56" s="322"/>
      <c r="E56" s="354"/>
      <c r="F56" s="309"/>
      <c r="G56" s="309"/>
      <c r="H56" s="309"/>
      <c r="I56" s="309"/>
      <c r="J56" s="309"/>
      <c r="K56" s="309"/>
      <c r="L56" s="309"/>
      <c r="M56" s="362"/>
      <c r="N56" s="110"/>
      <c r="O56" s="110"/>
      <c r="P56" s="61"/>
      <c r="Q56" s="61"/>
      <c r="R56" s="61"/>
      <c r="T56" s="293"/>
      <c r="U56" s="295">
        <f t="shared" si="3"/>
        <v>44001</v>
      </c>
      <c r="V56" s="6"/>
      <c r="W56" s="296">
        <v>323237</v>
      </c>
      <c r="X56" s="6"/>
      <c r="Y56" s="44">
        <v>0.14099999999999999</v>
      </c>
      <c r="Z56" s="6"/>
      <c r="AA56" s="297">
        <f t="shared" si="4"/>
        <v>-1733</v>
      </c>
      <c r="AB56" s="6"/>
      <c r="AC56" s="301"/>
      <c r="AD56" s="294"/>
    </row>
    <row r="57" spans="4:32" x14ac:dyDescent="0.3">
      <c r="D57" s="313"/>
      <c r="E57" s="310"/>
      <c r="F57" s="356" t="s">
        <v>113</v>
      </c>
      <c r="G57" s="356"/>
      <c r="H57" s="310"/>
      <c r="I57" s="668">
        <f>+I50</f>
        <v>22172</v>
      </c>
      <c r="J57" s="669"/>
      <c r="K57" s="310"/>
      <c r="L57" s="355">
        <f>+I57/$I$55</f>
        <v>0.73497530414028578</v>
      </c>
      <c r="M57" s="314"/>
      <c r="N57" s="110"/>
      <c r="O57" s="110"/>
      <c r="P57" s="61"/>
      <c r="Q57" s="61"/>
      <c r="R57" s="61"/>
      <c r="T57" s="293"/>
      <c r="U57" s="295">
        <f t="shared" si="3"/>
        <v>44002</v>
      </c>
      <c r="V57" s="6"/>
      <c r="W57" s="296">
        <v>338196</v>
      </c>
      <c r="X57" s="6"/>
      <c r="Y57" s="44">
        <v>0.14499999999999999</v>
      </c>
      <c r="Z57" s="6"/>
      <c r="AA57" s="297">
        <f t="shared" si="4"/>
        <v>-14959</v>
      </c>
      <c r="AB57" s="6"/>
      <c r="AC57" s="301"/>
      <c r="AD57" s="294"/>
    </row>
    <row r="58" spans="4:32" x14ac:dyDescent="0.3">
      <c r="D58" s="313"/>
      <c r="E58" s="310"/>
      <c r="F58" s="310" t="s">
        <v>89</v>
      </c>
      <c r="G58" s="310"/>
      <c r="H58" s="310"/>
      <c r="I58" s="670">
        <f>+I44</f>
        <v>1836</v>
      </c>
      <c r="J58" s="671"/>
      <c r="K58" s="310"/>
      <c r="L58" s="355">
        <f>+I58/$I$55</f>
        <v>6.0861205953525378E-2</v>
      </c>
      <c r="M58" s="314"/>
      <c r="N58" s="110"/>
      <c r="O58" s="110"/>
      <c r="P58" s="61"/>
      <c r="Q58" s="61"/>
      <c r="R58" s="61"/>
      <c r="T58" s="293"/>
      <c r="U58" s="295">
        <f t="shared" si="3"/>
        <v>44003</v>
      </c>
      <c r="V58" s="6"/>
      <c r="W58" s="296">
        <v>345179</v>
      </c>
      <c r="X58" s="6"/>
      <c r="Y58" s="44">
        <v>0.14699999999999999</v>
      </c>
      <c r="Z58" s="6"/>
      <c r="AA58" s="297">
        <f t="shared" si="4"/>
        <v>-6983</v>
      </c>
      <c r="AB58" s="6"/>
      <c r="AC58" s="301"/>
      <c r="AD58" s="294"/>
    </row>
    <row r="59" spans="4:32" ht="15" thickBot="1" x14ac:dyDescent="0.35">
      <c r="D59" s="313"/>
      <c r="E59" s="672" t="s">
        <v>114</v>
      </c>
      <c r="F59" s="672"/>
      <c r="G59" s="672"/>
      <c r="H59" s="310"/>
      <c r="I59" s="673">
        <f>+I55-I57-I58</f>
        <v>6159</v>
      </c>
      <c r="J59" s="674"/>
      <c r="K59" s="357"/>
      <c r="L59" s="358">
        <f>+I59/$I$55</f>
        <v>0.20416348990618888</v>
      </c>
      <c r="M59" s="314"/>
      <c r="N59" s="110"/>
      <c r="O59" s="110"/>
      <c r="P59" s="157"/>
      <c r="Q59" s="157"/>
      <c r="R59" s="157"/>
      <c r="T59" s="293"/>
      <c r="U59" s="295">
        <f t="shared" si="3"/>
        <v>44004</v>
      </c>
      <c r="V59" s="6"/>
      <c r="W59" s="296">
        <v>336790</v>
      </c>
      <c r="X59" s="6"/>
      <c r="Y59" s="44">
        <v>0.14099999999999999</v>
      </c>
      <c r="Z59" s="6"/>
      <c r="AA59" s="297">
        <f t="shared" si="4"/>
        <v>8389</v>
      </c>
      <c r="AB59" s="6"/>
      <c r="AC59" s="301"/>
      <c r="AD59" s="294"/>
    </row>
    <row r="60" spans="4:32" ht="15" thickTop="1" x14ac:dyDescent="0.3">
      <c r="D60" s="313"/>
      <c r="E60" s="467"/>
      <c r="F60" s="467" t="s">
        <v>129</v>
      </c>
      <c r="G60" s="467"/>
      <c r="H60" s="310"/>
      <c r="I60" s="675">
        <f>+I45</f>
        <v>1397</v>
      </c>
      <c r="J60" s="675"/>
      <c r="K60" s="357"/>
      <c r="L60" s="377"/>
      <c r="M60" s="314"/>
      <c r="N60" s="110"/>
      <c r="O60" s="110"/>
      <c r="P60" s="157"/>
      <c r="Q60" s="157"/>
      <c r="R60" s="157"/>
      <c r="T60" s="293"/>
      <c r="U60" s="295">
        <f t="shared" si="3"/>
        <v>44005</v>
      </c>
      <c r="V60" s="6"/>
      <c r="W60" s="296">
        <v>349505</v>
      </c>
      <c r="X60" s="6"/>
      <c r="Y60" s="44">
        <v>0.14399999999999999</v>
      </c>
      <c r="Z60" s="6"/>
      <c r="AA60" s="297">
        <f t="shared" si="4"/>
        <v>-12715</v>
      </c>
      <c r="AB60" s="6"/>
      <c r="AC60" s="301"/>
      <c r="AD60" s="294"/>
      <c r="AF60" s="61"/>
    </row>
    <row r="61" spans="4:32" ht="15" thickBot="1" x14ac:dyDescent="0.35">
      <c r="D61" s="313"/>
      <c r="E61" s="376"/>
      <c r="F61" s="376" t="s">
        <v>130</v>
      </c>
      <c r="G61" s="376"/>
      <c r="H61" s="310"/>
      <c r="I61" s="673">
        <f>+I59-I60</f>
        <v>4762</v>
      </c>
      <c r="J61" s="673"/>
      <c r="K61" s="357"/>
      <c r="L61" s="358">
        <f>+I61/K50</f>
        <v>0.15785460934133325</v>
      </c>
      <c r="M61" s="314"/>
      <c r="N61" s="110"/>
      <c r="O61" s="110"/>
      <c r="P61" s="61"/>
      <c r="Q61" s="61"/>
      <c r="R61" s="61"/>
      <c r="T61" s="293"/>
      <c r="U61" s="295">
        <f t="shared" si="3"/>
        <v>44006</v>
      </c>
      <c r="V61" s="6"/>
      <c r="W61" s="296">
        <v>361428</v>
      </c>
      <c r="X61" s="6"/>
      <c r="Y61" s="44">
        <v>0.14699999999999999</v>
      </c>
      <c r="Z61" s="6"/>
      <c r="AA61" s="297">
        <f t="shared" si="4"/>
        <v>-11923</v>
      </c>
      <c r="AB61" s="6"/>
      <c r="AC61" s="301"/>
      <c r="AD61" s="294"/>
    </row>
    <row r="62" spans="4:32" ht="15.6" thickTop="1" thickBot="1" x14ac:dyDescent="0.35">
      <c r="D62" s="315"/>
      <c r="E62" s="316"/>
      <c r="F62" s="316"/>
      <c r="G62" s="316"/>
      <c r="H62" s="316"/>
      <c r="I62" s="316"/>
      <c r="J62" s="316"/>
      <c r="K62" s="316"/>
      <c r="L62" s="316"/>
      <c r="M62" s="317"/>
      <c r="N62" s="110"/>
      <c r="O62" s="110"/>
      <c r="P62" s="61"/>
      <c r="Q62" s="61"/>
      <c r="R62" s="61"/>
      <c r="T62" s="293"/>
      <c r="U62" s="295">
        <f t="shared" si="3"/>
        <v>44007</v>
      </c>
      <c r="V62" s="6"/>
      <c r="W62" s="296">
        <v>374775</v>
      </c>
      <c r="X62" s="6"/>
      <c r="Y62" s="44">
        <v>0.15</v>
      </c>
      <c r="Z62" s="6"/>
      <c r="AA62" s="297">
        <f t="shared" si="4"/>
        <v>-13347</v>
      </c>
      <c r="AB62" s="6"/>
      <c r="AC62" s="301"/>
      <c r="AD62" s="294"/>
    </row>
    <row r="63" spans="4:32" ht="15" thickBot="1" x14ac:dyDescent="0.35">
      <c r="T63" s="293"/>
      <c r="U63" s="295">
        <f t="shared" si="3"/>
        <v>44008</v>
      </c>
      <c r="V63" s="6"/>
      <c r="W63" s="296">
        <v>402712</v>
      </c>
      <c r="X63" s="6"/>
      <c r="Y63" s="44">
        <v>0.158</v>
      </c>
      <c r="Z63" s="6"/>
      <c r="AA63" s="297">
        <f t="shared" si="4"/>
        <v>-27937</v>
      </c>
      <c r="AB63" s="6"/>
      <c r="AC63" s="301"/>
      <c r="AD63" s="294"/>
    </row>
    <row r="64" spans="4:32" ht="15" thickBot="1" x14ac:dyDescent="0.35">
      <c r="E64" s="664" t="s">
        <v>117</v>
      </c>
      <c r="F64" s="665"/>
      <c r="G64" s="665"/>
      <c r="H64" s="665"/>
      <c r="I64" s="665"/>
      <c r="J64" s="665"/>
      <c r="K64" s="665"/>
      <c r="L64" s="665"/>
      <c r="M64" s="666"/>
      <c r="P64" s="370"/>
      <c r="Q64" s="370"/>
      <c r="R64" s="370"/>
      <c r="T64" s="293"/>
      <c r="U64" s="295">
        <f t="shared" si="3"/>
        <v>44009</v>
      </c>
      <c r="V64" s="6"/>
      <c r="W64" s="296">
        <v>425664</v>
      </c>
      <c r="X64" s="6"/>
      <c r="Y64" s="44">
        <v>0.16400000000000001</v>
      </c>
      <c r="Z64" s="6"/>
      <c r="AA64" s="297">
        <f t="shared" ref="AA64:AA81" si="5">+W63-W64</f>
        <v>-22952</v>
      </c>
      <c r="AB64" s="6"/>
      <c r="AC64" s="301"/>
      <c r="AD64" s="294"/>
    </row>
    <row r="65" spans="4:30" x14ac:dyDescent="0.3">
      <c r="E65" s="365"/>
      <c r="F65" s="318" t="s">
        <v>109</v>
      </c>
      <c r="G65" s="318"/>
      <c r="H65" s="318"/>
      <c r="I65" s="659">
        <v>11690000</v>
      </c>
      <c r="J65" s="659"/>
      <c r="K65" s="659"/>
      <c r="L65" s="659"/>
      <c r="M65" s="366"/>
      <c r="P65" s="57"/>
      <c r="Q65" s="57"/>
      <c r="R65" s="57"/>
      <c r="S65" s="57"/>
      <c r="T65" s="293"/>
      <c r="U65" s="295">
        <f t="shared" si="3"/>
        <v>44010</v>
      </c>
      <c r="V65" s="6"/>
      <c r="W65" s="296">
        <v>440910</v>
      </c>
      <c r="X65" s="6"/>
      <c r="Y65" s="44">
        <v>0.16700000000000001</v>
      </c>
      <c r="Z65" s="6"/>
      <c r="AA65" s="297">
        <f t="shared" si="5"/>
        <v>-15246</v>
      </c>
      <c r="AB65" s="6"/>
      <c r="AC65" s="301"/>
      <c r="AD65" s="294"/>
    </row>
    <row r="66" spans="4:30" x14ac:dyDescent="0.3">
      <c r="E66" s="365"/>
      <c r="F66" s="318" t="s">
        <v>110</v>
      </c>
      <c r="G66" s="318"/>
      <c r="H66" s="318"/>
      <c r="I66" s="318"/>
      <c r="J66" s="318"/>
      <c r="K66" s="318"/>
      <c r="L66" s="319">
        <f>+I59/I65</f>
        <v>5.2686056458511551E-4</v>
      </c>
      <c r="M66" s="366"/>
      <c r="T66" s="293"/>
      <c r="U66" s="295">
        <f t="shared" si="3"/>
        <v>44011</v>
      </c>
      <c r="V66" s="6"/>
      <c r="W66" s="296">
        <v>459097</v>
      </c>
      <c r="X66" s="6"/>
      <c r="Y66" s="44">
        <v>0.17100000000000001</v>
      </c>
      <c r="Z66" s="6"/>
      <c r="AA66" s="297">
        <f t="shared" si="5"/>
        <v>-18187</v>
      </c>
      <c r="AB66" s="6"/>
      <c r="AC66" s="301"/>
      <c r="AD66" s="294"/>
    </row>
    <row r="67" spans="4:30" x14ac:dyDescent="0.3">
      <c r="E67" s="365"/>
      <c r="F67" s="686" t="s">
        <v>108</v>
      </c>
      <c r="G67" s="686"/>
      <c r="H67" s="318"/>
      <c r="I67" s="318"/>
      <c r="J67" s="318"/>
      <c r="K67" s="318"/>
      <c r="L67" s="378">
        <f>+I59/(I65/100000)</f>
        <v>52.686056458511544</v>
      </c>
      <c r="M67" s="366"/>
      <c r="T67" s="293"/>
      <c r="U67" s="295">
        <f t="shared" si="3"/>
        <v>44012</v>
      </c>
      <c r="V67" s="6"/>
      <c r="W67" s="296">
        <v>477287</v>
      </c>
      <c r="X67" s="6"/>
      <c r="Y67" s="44">
        <v>0.17499999999999999</v>
      </c>
      <c r="Z67" s="6"/>
      <c r="AA67" s="297">
        <f t="shared" si="5"/>
        <v>-18190</v>
      </c>
      <c r="AB67" s="6"/>
      <c r="AC67" s="301"/>
      <c r="AD67" s="294"/>
    </row>
    <row r="68" spans="4:30" ht="15" thickBot="1" x14ac:dyDescent="0.35">
      <c r="E68" s="367"/>
      <c r="F68" s="368"/>
      <c r="G68" s="368"/>
      <c r="H68" s="368"/>
      <c r="I68" s="368"/>
      <c r="J68" s="368"/>
      <c r="K68" s="368"/>
      <c r="L68" s="368"/>
      <c r="M68" s="369"/>
      <c r="T68" s="293"/>
      <c r="U68" s="295">
        <f t="shared" si="3"/>
        <v>44013</v>
      </c>
      <c r="V68" s="6"/>
      <c r="W68" s="296">
        <v>494808</v>
      </c>
      <c r="X68" s="6"/>
      <c r="Y68" s="44">
        <v>0.17799999999999999</v>
      </c>
      <c r="Z68" s="6"/>
      <c r="AA68" s="297">
        <f t="shared" si="5"/>
        <v>-17521</v>
      </c>
      <c r="AB68" s="6"/>
      <c r="AC68" s="301"/>
      <c r="AD68" s="294"/>
    </row>
    <row r="69" spans="4:30" x14ac:dyDescent="0.3">
      <c r="T69" s="293"/>
      <c r="U69" s="295">
        <f t="shared" si="3"/>
        <v>44014</v>
      </c>
      <c r="V69" s="6"/>
      <c r="W69" s="296">
        <v>518711</v>
      </c>
      <c r="X69" s="6"/>
      <c r="Y69" s="44">
        <v>0.183</v>
      </c>
      <c r="Z69" s="6"/>
      <c r="AA69" s="297">
        <f t="shared" si="5"/>
        <v>-23903</v>
      </c>
      <c r="AB69" s="6"/>
      <c r="AC69" s="301"/>
      <c r="AD69" s="294"/>
    </row>
    <row r="70" spans="4:30" x14ac:dyDescent="0.3">
      <c r="T70" s="293"/>
      <c r="U70" s="295">
        <f t="shared" si="3"/>
        <v>44015</v>
      </c>
      <c r="V70" s="6"/>
      <c r="W70" s="296">
        <v>537924</v>
      </c>
      <c r="X70" s="6"/>
      <c r="Y70" s="44">
        <v>0.187</v>
      </c>
      <c r="Z70" s="6"/>
      <c r="AA70" s="297">
        <f t="shared" si="5"/>
        <v>-19213</v>
      </c>
      <c r="AB70" s="6"/>
      <c r="AC70" s="301"/>
      <c r="AD70" s="294"/>
    </row>
    <row r="71" spans="4:30" ht="15" thickBot="1" x14ac:dyDescent="0.35">
      <c r="T71" s="293"/>
      <c r="U71" s="295">
        <f t="shared" si="3"/>
        <v>44016</v>
      </c>
      <c r="V71" s="6"/>
      <c r="W71" s="296">
        <v>561332</v>
      </c>
      <c r="X71" s="6"/>
      <c r="Y71" s="44">
        <v>0.191</v>
      </c>
      <c r="Z71" s="6"/>
      <c r="AA71" s="297">
        <f t="shared" si="5"/>
        <v>-23408</v>
      </c>
      <c r="AB71" s="6"/>
      <c r="AC71" s="301"/>
      <c r="AD71" s="294"/>
    </row>
    <row r="72" spans="4:30" ht="15" thickBot="1" x14ac:dyDescent="0.35">
      <c r="D72" s="634" t="s">
        <v>131</v>
      </c>
      <c r="E72" s="635"/>
      <c r="F72" s="635"/>
      <c r="G72" s="635"/>
      <c r="H72" s="635"/>
      <c r="I72" s="635"/>
      <c r="J72" s="635"/>
      <c r="K72" s="635"/>
      <c r="L72" s="635"/>
      <c r="M72" s="635"/>
      <c r="N72" s="635"/>
      <c r="O72" s="636"/>
      <c r="T72" s="293"/>
      <c r="U72" s="295">
        <f t="shared" si="3"/>
        <v>44017</v>
      </c>
      <c r="V72" s="6"/>
      <c r="W72" s="296">
        <v>569824</v>
      </c>
      <c r="X72" s="6"/>
      <c r="Y72" s="44">
        <v>0.191</v>
      </c>
      <c r="Z72" s="6"/>
      <c r="AA72" s="297">
        <f t="shared" si="5"/>
        <v>-8492</v>
      </c>
      <c r="AB72" s="6"/>
      <c r="AC72" s="301"/>
      <c r="AD72" s="294"/>
    </row>
    <row r="73" spans="4:30" ht="15" thickBot="1" x14ac:dyDescent="0.35">
      <c r="D73" s="397"/>
      <c r="E73" s="637" t="s">
        <v>75</v>
      </c>
      <c r="F73" s="637"/>
      <c r="G73" s="637"/>
      <c r="H73" s="637"/>
      <c r="I73" s="398" t="s">
        <v>74</v>
      </c>
      <c r="J73" s="399"/>
      <c r="K73" s="638" t="s">
        <v>37</v>
      </c>
      <c r="L73" s="638"/>
      <c r="M73" s="400"/>
      <c r="N73" s="401" t="s">
        <v>73</v>
      </c>
      <c r="O73" s="402"/>
      <c r="T73" s="293"/>
      <c r="U73" s="295">
        <f t="shared" si="3"/>
        <v>44018</v>
      </c>
      <c r="V73" s="6"/>
      <c r="W73" s="296">
        <v>581179</v>
      </c>
      <c r="X73" s="6"/>
      <c r="Y73" s="44">
        <v>0.192</v>
      </c>
      <c r="Z73" s="6"/>
      <c r="AA73" s="297">
        <f t="shared" si="5"/>
        <v>-11355</v>
      </c>
      <c r="AB73" s="6"/>
      <c r="AC73" s="301"/>
      <c r="AD73" s="294"/>
    </row>
    <row r="74" spans="4:30" x14ac:dyDescent="0.3">
      <c r="D74" s="403"/>
      <c r="E74" s="404" t="s">
        <v>43</v>
      </c>
      <c r="F74" s="405"/>
      <c r="G74" s="404"/>
      <c r="H74" s="404"/>
      <c r="I74" s="406">
        <v>38828</v>
      </c>
      <c r="J74" s="406"/>
      <c r="K74" s="407"/>
      <c r="L74" s="407"/>
      <c r="M74" s="407"/>
      <c r="N74" s="407"/>
      <c r="O74" s="408"/>
      <c r="T74" s="293"/>
      <c r="U74" s="295">
        <f t="shared" si="3"/>
        <v>44019</v>
      </c>
      <c r="V74" s="6"/>
      <c r="W74" s="296">
        <v>606840</v>
      </c>
      <c r="X74" s="6"/>
      <c r="Y74" s="44">
        <v>0.19600000000000001</v>
      </c>
      <c r="Z74" s="6"/>
      <c r="AA74" s="297">
        <f t="shared" si="5"/>
        <v>-25661</v>
      </c>
      <c r="AB74" s="6"/>
      <c r="AC74" s="301"/>
      <c r="AD74" s="294"/>
    </row>
    <row r="75" spans="4:30" x14ac:dyDescent="0.3">
      <c r="D75" s="403"/>
      <c r="E75" s="404" t="s">
        <v>44</v>
      </c>
      <c r="F75" s="404" t="s">
        <v>4</v>
      </c>
      <c r="G75" s="404"/>
      <c r="H75" s="404"/>
      <c r="I75" s="406">
        <v>2144</v>
      </c>
      <c r="J75" s="406"/>
      <c r="K75" s="407"/>
      <c r="L75" s="407"/>
      <c r="M75" s="407"/>
      <c r="N75" s="407"/>
      <c r="O75" s="408"/>
      <c r="T75" s="293"/>
      <c r="U75" s="295">
        <f t="shared" si="3"/>
        <v>44020</v>
      </c>
      <c r="V75" s="6"/>
      <c r="W75" s="296">
        <v>621347</v>
      </c>
      <c r="X75" s="6"/>
      <c r="Y75" s="44">
        <v>0.19700000000000001</v>
      </c>
      <c r="Z75" s="6"/>
      <c r="AA75" s="297">
        <f t="shared" si="5"/>
        <v>-14507</v>
      </c>
      <c r="AB75" s="6"/>
      <c r="AC75" s="301"/>
      <c r="AD75" s="294"/>
    </row>
    <row r="76" spans="4:30" x14ac:dyDescent="0.3">
      <c r="D76" s="403"/>
      <c r="E76" s="404"/>
      <c r="F76" s="404" t="s">
        <v>45</v>
      </c>
      <c r="G76" s="404"/>
      <c r="H76" s="404"/>
      <c r="I76" s="409"/>
      <c r="J76" s="406"/>
      <c r="K76" s="407"/>
      <c r="L76" s="406"/>
      <c r="M76" s="407"/>
      <c r="N76" s="410"/>
      <c r="O76" s="408"/>
      <c r="T76" s="293"/>
      <c r="U76" s="295">
        <f t="shared" si="3"/>
        <v>44021</v>
      </c>
      <c r="V76" s="6"/>
      <c r="W76" s="296">
        <v>639107</v>
      </c>
      <c r="X76" s="6"/>
      <c r="Y76" s="44">
        <v>0.19800000000000001</v>
      </c>
      <c r="Z76" s="6"/>
      <c r="AA76" s="297">
        <f t="shared" si="5"/>
        <v>-17760</v>
      </c>
      <c r="AB76" s="6"/>
      <c r="AC76" s="301"/>
      <c r="AD76" s="294"/>
    </row>
    <row r="77" spans="4:30" x14ac:dyDescent="0.3">
      <c r="D77" s="403"/>
      <c r="E77" s="404"/>
      <c r="F77" s="411" t="s">
        <v>70</v>
      </c>
      <c r="G77" s="411"/>
      <c r="H77" s="411"/>
      <c r="I77" s="406">
        <f>+I74-I75-I76</f>
        <v>36684</v>
      </c>
      <c r="J77" s="406"/>
      <c r="K77" s="407"/>
      <c r="L77" s="407"/>
      <c r="M77" s="407"/>
      <c r="N77" s="407"/>
      <c r="O77" s="408"/>
      <c r="T77" s="293"/>
      <c r="U77" s="295">
        <f t="shared" si="3"/>
        <v>44022</v>
      </c>
      <c r="V77" s="6"/>
      <c r="W77" s="296">
        <v>670486</v>
      </c>
      <c r="X77" s="6"/>
      <c r="Y77" s="44">
        <v>0.20399999999999999</v>
      </c>
      <c r="Z77" s="6"/>
      <c r="AA77" s="297">
        <f t="shared" si="5"/>
        <v>-31379</v>
      </c>
      <c r="AB77" s="6"/>
      <c r="AC77" s="301"/>
      <c r="AD77" s="294"/>
    </row>
    <row r="78" spans="4:30" x14ac:dyDescent="0.3">
      <c r="D78" s="403"/>
      <c r="E78" s="404" t="s">
        <v>77</v>
      </c>
      <c r="F78" s="16"/>
      <c r="G78" s="16"/>
      <c r="H78" s="16"/>
      <c r="I78" s="409">
        <f>+'Main Table'!AP246</f>
        <v>0</v>
      </c>
      <c r="J78" s="406"/>
      <c r="K78" s="407"/>
      <c r="L78" s="407"/>
      <c r="M78" s="407"/>
      <c r="N78" s="407"/>
      <c r="O78" s="408"/>
      <c r="T78" s="293"/>
      <c r="U78" s="295">
        <f t="shared" si="3"/>
        <v>44023</v>
      </c>
      <c r="V78" s="6"/>
      <c r="W78" s="296">
        <v>687513</v>
      </c>
      <c r="X78" s="6"/>
      <c r="Y78" s="44">
        <v>0.20499999999999999</v>
      </c>
      <c r="Z78" s="6"/>
      <c r="AA78" s="297">
        <f t="shared" si="5"/>
        <v>-17027</v>
      </c>
      <c r="AB78" s="6"/>
      <c r="AC78" s="301"/>
      <c r="AD78" s="294"/>
    </row>
    <row r="79" spans="4:30" x14ac:dyDescent="0.3">
      <c r="D79" s="639" t="s">
        <v>49</v>
      </c>
      <c r="E79" s="640"/>
      <c r="F79" s="640"/>
      <c r="G79" s="640"/>
      <c r="H79" s="640"/>
      <c r="I79" s="412">
        <f>+I77-I78</f>
        <v>36684</v>
      </c>
      <c r="J79" s="406"/>
      <c r="K79" s="407"/>
      <c r="L79" s="407"/>
      <c r="M79" s="407"/>
      <c r="N79" s="407"/>
      <c r="O79" s="408"/>
      <c r="T79" s="293"/>
      <c r="U79" s="295">
        <f t="shared" si="3"/>
        <v>44024</v>
      </c>
      <c r="V79" s="6"/>
      <c r="W79" s="296">
        <v>699823</v>
      </c>
      <c r="X79" s="6"/>
      <c r="Y79" s="44">
        <v>0.20499999999999999</v>
      </c>
      <c r="Z79" s="6"/>
      <c r="AA79" s="297">
        <f t="shared" si="5"/>
        <v>-12310</v>
      </c>
      <c r="AB79" s="6"/>
      <c r="AC79" s="301"/>
      <c r="AD79" s="294"/>
    </row>
    <row r="80" spans="4:30" x14ac:dyDescent="0.3">
      <c r="D80" s="403"/>
      <c r="E80" s="404" t="s">
        <v>71</v>
      </c>
      <c r="F80" s="16"/>
      <c r="G80" s="16"/>
      <c r="H80" s="16"/>
      <c r="I80" s="409">
        <f>+I78</f>
        <v>0</v>
      </c>
      <c r="J80" s="406"/>
      <c r="K80" s="407"/>
      <c r="L80" s="407"/>
      <c r="M80" s="407"/>
      <c r="N80" s="407"/>
      <c r="O80" s="408"/>
      <c r="T80" s="293"/>
      <c r="U80" s="295">
        <f t="shared" si="3"/>
        <v>44025</v>
      </c>
      <c r="V80" s="6"/>
      <c r="W80" s="296">
        <v>716467</v>
      </c>
      <c r="X80" s="6"/>
      <c r="Y80" s="44">
        <v>0.20599999999999999</v>
      </c>
      <c r="Z80" s="6"/>
      <c r="AA80" s="297">
        <f t="shared" si="5"/>
        <v>-16644</v>
      </c>
      <c r="AB80" s="6"/>
      <c r="AC80" s="301"/>
      <c r="AD80" s="294"/>
    </row>
    <row r="81" spans="3:30" ht="15" thickBot="1" x14ac:dyDescent="0.35">
      <c r="D81" s="639" t="s">
        <v>46</v>
      </c>
      <c r="E81" s="640"/>
      <c r="F81" s="640"/>
      <c r="G81" s="640"/>
      <c r="H81" s="640"/>
      <c r="I81" s="413">
        <f>+I79+I80</f>
        <v>36684</v>
      </c>
      <c r="J81" s="406"/>
      <c r="K81" s="642">
        <v>48675</v>
      </c>
      <c r="L81" s="642"/>
      <c r="M81" s="407"/>
      <c r="N81" s="414">
        <f>+K81-I81</f>
        <v>11991</v>
      </c>
      <c r="O81" s="408"/>
      <c r="S81" s="57"/>
      <c r="T81" s="293"/>
      <c r="U81" s="295">
        <f t="shared" si="3"/>
        <v>44026</v>
      </c>
      <c r="V81" s="6"/>
      <c r="W81" s="296">
        <v>720448</v>
      </c>
      <c r="X81" s="6"/>
      <c r="Y81" s="44">
        <v>0.20300000000000001</v>
      </c>
      <c r="Z81" s="6"/>
      <c r="AA81" s="297">
        <f t="shared" si="5"/>
        <v>-3981</v>
      </c>
      <c r="AB81" s="6"/>
      <c r="AC81" s="301"/>
      <c r="AD81" s="294"/>
    </row>
    <row r="82" spans="3:30" ht="15.6" thickTop="1" thickBot="1" x14ac:dyDescent="0.35">
      <c r="D82" s="415"/>
      <c r="E82" s="641" t="s">
        <v>69</v>
      </c>
      <c r="F82" s="641"/>
      <c r="G82" s="641"/>
      <c r="H82" s="411"/>
      <c r="I82" s="416">
        <f>+I81/K81</f>
        <v>0.75365177195685673</v>
      </c>
      <c r="J82" s="407"/>
      <c r="K82" s="407"/>
      <c r="L82" s="407"/>
      <c r="M82" s="407"/>
      <c r="N82" s="417">
        <f>+N81/K81</f>
        <v>0.2463482280431433</v>
      </c>
      <c r="O82" s="408"/>
      <c r="T82" s="293"/>
      <c r="U82" s="295">
        <f t="shared" si="3"/>
        <v>44027</v>
      </c>
      <c r="V82" s="6"/>
      <c r="W82" s="296">
        <v>734229</v>
      </c>
      <c r="X82" s="6"/>
      <c r="Y82" s="44">
        <v>0.20300000000000001</v>
      </c>
      <c r="Z82" s="6"/>
      <c r="AA82" s="297">
        <f t="shared" ref="AA82:AA119" si="6">+W81-W82</f>
        <v>-13781</v>
      </c>
      <c r="AB82" s="6"/>
      <c r="AC82" s="301"/>
      <c r="AD82" s="294"/>
    </row>
    <row r="83" spans="3:30" ht="15.6" thickTop="1" thickBot="1" x14ac:dyDescent="0.35">
      <c r="D83" s="418"/>
      <c r="E83" s="419"/>
      <c r="F83" s="419"/>
      <c r="G83" s="419"/>
      <c r="H83" s="419"/>
      <c r="I83" s="420"/>
      <c r="J83" s="421"/>
      <c r="K83" s="422"/>
      <c r="L83" s="422"/>
      <c r="M83" s="422"/>
      <c r="N83" s="422"/>
      <c r="O83" s="423"/>
      <c r="T83" s="293"/>
      <c r="U83" s="295">
        <f t="shared" si="3"/>
        <v>44028</v>
      </c>
      <c r="V83" s="6"/>
      <c r="W83" s="296">
        <v>761026</v>
      </c>
      <c r="X83" s="6"/>
      <c r="Y83" s="44">
        <v>0.20599999999999999</v>
      </c>
      <c r="Z83" s="6"/>
      <c r="AA83" s="297">
        <f t="shared" si="6"/>
        <v>-26797</v>
      </c>
      <c r="AB83" s="6"/>
      <c r="AC83" s="301"/>
      <c r="AD83" s="294"/>
    </row>
    <row r="84" spans="3:30" x14ac:dyDescent="0.3">
      <c r="C84" s="61"/>
      <c r="D84" s="90"/>
      <c r="E84" s="151"/>
      <c r="F84" s="151"/>
      <c r="G84" s="151"/>
      <c r="H84" s="151"/>
      <c r="I84" s="161"/>
      <c r="J84" s="531"/>
      <c r="K84" s="532"/>
      <c r="L84" s="532"/>
      <c r="M84" s="532"/>
      <c r="N84" s="532"/>
      <c r="O84" s="110"/>
      <c r="P84" s="61"/>
      <c r="T84" s="293"/>
      <c r="U84" s="295">
        <f t="shared" si="3"/>
        <v>44029</v>
      </c>
      <c r="V84" s="6"/>
      <c r="W84" s="296">
        <v>791691</v>
      </c>
      <c r="X84" s="6"/>
      <c r="Y84" s="44">
        <v>0.21</v>
      </c>
      <c r="Z84" s="6"/>
      <c r="AA84" s="297">
        <f t="shared" si="6"/>
        <v>-30665</v>
      </c>
      <c r="AB84" s="6"/>
      <c r="AC84" s="301"/>
      <c r="AD84" s="294"/>
    </row>
    <row r="85" spans="3:30" x14ac:dyDescent="0.3">
      <c r="C85" s="61"/>
      <c r="D85" s="90"/>
      <c r="E85" s="151"/>
      <c r="F85" s="151"/>
      <c r="G85" s="151"/>
      <c r="H85" s="151"/>
      <c r="I85" s="161"/>
      <c r="J85" s="531"/>
      <c r="K85" s="532"/>
      <c r="L85" s="532"/>
      <c r="M85" s="532"/>
      <c r="N85" s="532"/>
      <c r="O85" s="110"/>
      <c r="P85" s="61"/>
      <c r="T85" s="293"/>
      <c r="U85" s="295">
        <f t="shared" si="3"/>
        <v>44030</v>
      </c>
      <c r="V85" s="6"/>
      <c r="W85" s="296">
        <v>801338</v>
      </c>
      <c r="X85" s="6"/>
      <c r="Y85" s="44">
        <v>0.20899999999999999</v>
      </c>
      <c r="Z85" s="6"/>
      <c r="AA85" s="297">
        <f t="shared" si="6"/>
        <v>-9647</v>
      </c>
      <c r="AB85" s="6"/>
      <c r="AC85" s="301"/>
      <c r="AD85" s="294"/>
    </row>
    <row r="86" spans="3:30" x14ac:dyDescent="0.3">
      <c r="C86" s="61"/>
      <c r="D86" s="90"/>
      <c r="E86" s="151"/>
      <c r="F86" s="151"/>
      <c r="G86" s="151"/>
      <c r="H86" s="151"/>
      <c r="I86" s="161"/>
      <c r="J86" s="531"/>
      <c r="K86" s="532"/>
      <c r="L86" s="532"/>
      <c r="M86" s="532"/>
      <c r="N86" s="532"/>
      <c r="O86" s="110"/>
      <c r="P86" s="61"/>
      <c r="T86" s="293"/>
      <c r="U86" s="295">
        <f t="shared" si="3"/>
        <v>44031</v>
      </c>
      <c r="V86" s="6"/>
      <c r="W86" s="296">
        <v>811067</v>
      </c>
      <c r="X86" s="6"/>
      <c r="Y86" s="44">
        <v>0.20799999999999999</v>
      </c>
      <c r="Z86" s="6"/>
      <c r="AA86" s="297">
        <f t="shared" si="6"/>
        <v>-9729</v>
      </c>
      <c r="AB86" s="6"/>
      <c r="AC86" s="301"/>
      <c r="AD86" s="294"/>
    </row>
    <row r="87" spans="3:30" x14ac:dyDescent="0.3">
      <c r="C87" s="61"/>
      <c r="D87" s="90"/>
      <c r="E87" s="151"/>
      <c r="F87" s="151"/>
      <c r="G87" s="151"/>
      <c r="H87" s="151"/>
      <c r="I87" s="161"/>
      <c r="J87" s="531"/>
      <c r="K87" s="532"/>
      <c r="L87" s="532"/>
      <c r="M87" s="532"/>
      <c r="N87" s="532"/>
      <c r="O87" s="110"/>
      <c r="P87" s="61"/>
      <c r="T87" s="293"/>
      <c r="U87" s="295">
        <f t="shared" si="3"/>
        <v>44032</v>
      </c>
      <c r="V87" s="6"/>
      <c r="W87" s="296">
        <v>792871</v>
      </c>
      <c r="X87" s="6"/>
      <c r="Y87" s="44">
        <v>0.2</v>
      </c>
      <c r="Z87" s="6"/>
      <c r="AA87" s="297">
        <f t="shared" si="6"/>
        <v>18196</v>
      </c>
      <c r="AB87" s="6"/>
      <c r="AC87" s="301"/>
      <c r="AD87" s="294"/>
    </row>
    <row r="88" spans="3:30" x14ac:dyDescent="0.3">
      <c r="C88" s="61"/>
      <c r="D88" s="90"/>
      <c r="E88" s="151"/>
      <c r="F88" s="151"/>
      <c r="G88" s="151"/>
      <c r="H88" s="151"/>
      <c r="I88" s="161"/>
      <c r="J88" s="531"/>
      <c r="K88" s="532"/>
      <c r="L88" s="532"/>
      <c r="M88" s="532"/>
      <c r="N88" s="532"/>
      <c r="O88" s="110"/>
      <c r="P88" s="61"/>
      <c r="T88" s="293"/>
      <c r="U88" s="295">
        <f t="shared" si="3"/>
        <v>44033</v>
      </c>
      <c r="V88" s="6"/>
      <c r="W88" s="296">
        <v>747251</v>
      </c>
      <c r="X88" s="6"/>
      <c r="Y88" s="44">
        <v>0.185</v>
      </c>
      <c r="Z88" s="6"/>
      <c r="AA88" s="297">
        <f t="shared" si="6"/>
        <v>45620</v>
      </c>
      <c r="AB88" s="6"/>
      <c r="AC88" s="301"/>
      <c r="AD88" s="294"/>
    </row>
    <row r="89" spans="3:30" x14ac:dyDescent="0.3">
      <c r="C89" s="61"/>
      <c r="D89" s="90"/>
      <c r="E89" s="151"/>
      <c r="F89" s="151"/>
      <c r="G89" s="151"/>
      <c r="H89" s="151"/>
      <c r="I89" s="161"/>
      <c r="J89" s="531"/>
      <c r="K89" s="532"/>
      <c r="L89" s="532"/>
      <c r="M89" s="532"/>
      <c r="N89" s="532"/>
      <c r="O89" s="110"/>
      <c r="P89" s="61"/>
      <c r="T89" s="293"/>
      <c r="U89" s="295">
        <f t="shared" si="3"/>
        <v>44034</v>
      </c>
      <c r="V89" s="6"/>
      <c r="W89" s="296">
        <v>757520</v>
      </c>
      <c r="X89" s="6"/>
      <c r="Y89" s="44">
        <v>0.185</v>
      </c>
      <c r="Z89" s="6"/>
      <c r="AA89" s="297">
        <f t="shared" si="6"/>
        <v>-10269</v>
      </c>
      <c r="AB89" s="6"/>
      <c r="AC89" s="301"/>
      <c r="AD89" s="294"/>
    </row>
    <row r="90" spans="3:30" x14ac:dyDescent="0.3">
      <c r="C90" s="61"/>
      <c r="D90" s="90"/>
      <c r="E90" s="151"/>
      <c r="F90" s="151"/>
      <c r="G90" s="151"/>
      <c r="H90" s="151"/>
      <c r="I90" s="161"/>
      <c r="J90" s="531"/>
      <c r="K90" s="532"/>
      <c r="L90" s="532"/>
      <c r="M90" s="532"/>
      <c r="N90" s="532"/>
      <c r="O90" s="110"/>
      <c r="P90" s="61"/>
      <c r="T90" s="293"/>
      <c r="U90" s="295">
        <f t="shared" si="3"/>
        <v>44035</v>
      </c>
      <c r="V90" s="6"/>
      <c r="W90" s="296">
        <v>770711</v>
      </c>
      <c r="X90" s="6"/>
      <c r="Y90" s="44">
        <v>0.185</v>
      </c>
      <c r="Z90" s="6"/>
      <c r="AA90" s="297">
        <f t="shared" si="6"/>
        <v>-13191</v>
      </c>
      <c r="AB90" s="6"/>
      <c r="AC90" s="301"/>
      <c r="AD90" s="294"/>
    </row>
    <row r="91" spans="3:30" x14ac:dyDescent="0.3">
      <c r="C91" s="61"/>
      <c r="D91" s="90"/>
      <c r="E91" s="151"/>
      <c r="F91" s="151"/>
      <c r="G91" s="151"/>
      <c r="H91" s="151"/>
      <c r="I91" s="161"/>
      <c r="J91" s="531"/>
      <c r="K91" s="532"/>
      <c r="L91" s="532"/>
      <c r="M91" s="532"/>
      <c r="N91" s="532"/>
      <c r="O91" s="110"/>
      <c r="P91" s="61"/>
      <c r="T91" s="293"/>
      <c r="U91" s="295">
        <f t="shared" si="3"/>
        <v>44036</v>
      </c>
      <c r="V91" s="6"/>
      <c r="W91" s="296">
        <v>783144</v>
      </c>
      <c r="X91" s="6"/>
      <c r="Y91" s="44">
        <v>0.184</v>
      </c>
      <c r="Z91" s="6"/>
      <c r="AA91" s="297">
        <f t="shared" si="6"/>
        <v>-12433</v>
      </c>
      <c r="AB91" s="6"/>
      <c r="AC91" s="301"/>
      <c r="AD91" s="294"/>
    </row>
    <row r="92" spans="3:30" x14ac:dyDescent="0.3">
      <c r="O92" s="110"/>
      <c r="T92" s="293"/>
      <c r="U92" s="295">
        <f t="shared" si="3"/>
        <v>44037</v>
      </c>
      <c r="V92" s="6"/>
      <c r="W92" s="296">
        <v>784395</v>
      </c>
      <c r="X92" s="6"/>
      <c r="Y92" s="44">
        <v>0.182</v>
      </c>
      <c r="Z92" s="6"/>
      <c r="AA92" s="297">
        <f t="shared" si="6"/>
        <v>-1251</v>
      </c>
      <c r="AB92" s="6"/>
      <c r="AC92" s="301"/>
      <c r="AD92" s="294"/>
    </row>
    <row r="93" spans="3:30" x14ac:dyDescent="0.3">
      <c r="O93" s="110"/>
      <c r="T93" s="293"/>
      <c r="U93" s="295">
        <f t="shared" si="3"/>
        <v>44038</v>
      </c>
      <c r="V93" s="6"/>
      <c r="W93" s="296">
        <v>768522</v>
      </c>
      <c r="X93" s="6"/>
      <c r="Y93" s="44">
        <v>0.17599999999999999</v>
      </c>
      <c r="Z93" s="6"/>
      <c r="AA93" s="297">
        <f t="shared" si="6"/>
        <v>15873</v>
      </c>
      <c r="AB93" s="6"/>
      <c r="AC93" s="301"/>
      <c r="AD93" s="294"/>
    </row>
    <row r="94" spans="3:30" x14ac:dyDescent="0.3">
      <c r="O94" s="110"/>
      <c r="T94" s="293"/>
      <c r="U94" s="295">
        <f t="shared" si="3"/>
        <v>44039</v>
      </c>
      <c r="V94" s="6"/>
      <c r="W94" s="296">
        <v>757532</v>
      </c>
      <c r="X94" s="6"/>
      <c r="Y94" s="44">
        <v>0.17100000000000001</v>
      </c>
      <c r="Z94" s="6"/>
      <c r="AA94" s="297">
        <f t="shared" si="6"/>
        <v>10990</v>
      </c>
      <c r="AB94" s="6"/>
      <c r="AC94" s="301"/>
      <c r="AD94" s="294"/>
    </row>
    <row r="95" spans="3:30" x14ac:dyDescent="0.3">
      <c r="O95" s="110"/>
      <c r="T95" s="293"/>
      <c r="U95" s="295">
        <f t="shared" si="3"/>
        <v>44040</v>
      </c>
      <c r="V95" s="6"/>
      <c r="W95" s="296">
        <v>747119</v>
      </c>
      <c r="X95" s="6"/>
      <c r="Y95" s="44">
        <v>0.16600000000000001</v>
      </c>
      <c r="Z95" s="6"/>
      <c r="AA95" s="297">
        <f t="shared" si="6"/>
        <v>10413</v>
      </c>
      <c r="AB95" s="6"/>
      <c r="AC95" s="301"/>
      <c r="AD95" s="294"/>
    </row>
    <row r="96" spans="3:30" x14ac:dyDescent="0.3">
      <c r="O96" s="110"/>
      <c r="T96" s="293"/>
      <c r="U96" s="295">
        <f t="shared" si="3"/>
        <v>44041</v>
      </c>
      <c r="V96" s="6"/>
      <c r="W96" s="296">
        <v>750781</v>
      </c>
      <c r="X96" s="6"/>
      <c r="Y96" s="44">
        <v>0.16400000000000001</v>
      </c>
      <c r="Z96" s="6"/>
      <c r="AA96" s="297">
        <f t="shared" si="6"/>
        <v>-3662</v>
      </c>
      <c r="AB96" s="6"/>
      <c r="AC96" s="301"/>
      <c r="AD96" s="294"/>
    </row>
    <row r="97" spans="15:31" x14ac:dyDescent="0.3">
      <c r="O97" s="110"/>
      <c r="T97" s="293"/>
      <c r="U97" s="295">
        <f t="shared" si="3"/>
        <v>44042</v>
      </c>
      <c r="V97" s="6"/>
      <c r="W97" s="296">
        <v>753862</v>
      </c>
      <c r="X97" s="6"/>
      <c r="Y97" s="44">
        <v>0.16300000000000001</v>
      </c>
      <c r="Z97" s="6"/>
      <c r="AA97" s="297">
        <f t="shared" si="6"/>
        <v>-3081</v>
      </c>
      <c r="AB97" s="6"/>
      <c r="AC97" s="301"/>
      <c r="AD97" s="294"/>
    </row>
    <row r="98" spans="15:31" x14ac:dyDescent="0.3">
      <c r="O98" s="110"/>
      <c r="T98" s="293"/>
      <c r="U98" s="295">
        <f t="shared" si="3"/>
        <v>44043</v>
      </c>
      <c r="V98" s="6"/>
      <c r="W98" s="296">
        <v>761970</v>
      </c>
      <c r="X98" s="6"/>
      <c r="Y98" s="44">
        <v>0.16200000000000001</v>
      </c>
      <c r="Z98" s="6"/>
      <c r="AA98" s="297">
        <f t="shared" si="6"/>
        <v>-8108</v>
      </c>
      <c r="AB98" s="6"/>
      <c r="AC98" s="301"/>
      <c r="AD98" s="294"/>
    </row>
    <row r="99" spans="15:31" x14ac:dyDescent="0.3">
      <c r="O99" s="110"/>
      <c r="T99" s="293"/>
      <c r="U99" s="295">
        <f t="shared" si="3"/>
        <v>44044</v>
      </c>
      <c r="V99" s="6"/>
      <c r="W99" s="296">
        <v>753065</v>
      </c>
      <c r="X99" s="6"/>
      <c r="Y99" s="44">
        <v>0.158</v>
      </c>
      <c r="Z99" s="6"/>
      <c r="AA99" s="297">
        <f t="shared" si="6"/>
        <v>8905</v>
      </c>
      <c r="AB99" s="6"/>
      <c r="AC99" s="301"/>
      <c r="AD99" s="294"/>
    </row>
    <row r="100" spans="15:31" x14ac:dyDescent="0.3">
      <c r="O100" s="110"/>
      <c r="T100" s="293"/>
      <c r="U100" s="295">
        <f t="shared" si="3"/>
        <v>44045</v>
      </c>
      <c r="V100" s="6"/>
      <c r="W100" s="296">
        <v>730039</v>
      </c>
      <c r="X100" s="6"/>
      <c r="Y100" s="44">
        <v>0.152</v>
      </c>
      <c r="Z100" s="6"/>
      <c r="AA100" s="297">
        <f t="shared" si="6"/>
        <v>23026</v>
      </c>
      <c r="AB100" s="6"/>
      <c r="AC100" s="301"/>
      <c r="AD100" s="294"/>
    </row>
    <row r="101" spans="15:31" x14ac:dyDescent="0.3">
      <c r="O101" s="110"/>
      <c r="R101" s="61"/>
      <c r="T101" s="293"/>
      <c r="U101" s="295">
        <f t="shared" si="3"/>
        <v>44046</v>
      </c>
      <c r="V101" s="6"/>
      <c r="W101" s="296">
        <v>709320</v>
      </c>
      <c r="X101" s="6"/>
      <c r="Y101" s="44">
        <v>0.14599999999999999</v>
      </c>
      <c r="Z101" s="6"/>
      <c r="AA101" s="297">
        <f t="shared" si="6"/>
        <v>20719</v>
      </c>
      <c r="AB101" s="6"/>
      <c r="AC101" s="301"/>
      <c r="AD101" s="294"/>
      <c r="AE101" s="61"/>
    </row>
    <row r="102" spans="15:31" x14ac:dyDescent="0.3">
      <c r="O102" s="110"/>
      <c r="T102" s="293"/>
      <c r="U102" s="295">
        <f t="shared" si="3"/>
        <v>44047</v>
      </c>
      <c r="V102" s="6"/>
      <c r="W102" s="296">
        <v>685528</v>
      </c>
      <c r="X102" s="6"/>
      <c r="Y102" s="44">
        <v>0.13900000000000001</v>
      </c>
      <c r="Z102" s="6"/>
      <c r="AA102" s="297">
        <f t="shared" si="6"/>
        <v>23792</v>
      </c>
      <c r="AB102" s="6"/>
      <c r="AC102" s="301"/>
      <c r="AD102" s="294"/>
    </row>
    <row r="103" spans="15:31" x14ac:dyDescent="0.3">
      <c r="O103" s="110"/>
      <c r="T103" s="293"/>
      <c r="U103" s="295">
        <f t="shared" si="3"/>
        <v>44048</v>
      </c>
      <c r="V103" s="6"/>
      <c r="W103" s="296">
        <v>618132</v>
      </c>
      <c r="X103" s="6"/>
      <c r="Y103" s="44">
        <v>0.126</v>
      </c>
      <c r="Z103" s="6"/>
      <c r="AA103" s="297">
        <f t="shared" si="6"/>
        <v>67396</v>
      </c>
      <c r="AB103" s="6"/>
      <c r="AC103" s="301"/>
      <c r="AD103" s="294"/>
    </row>
    <row r="104" spans="15:31" x14ac:dyDescent="0.3">
      <c r="O104" s="110"/>
      <c r="T104" s="293"/>
      <c r="U104" s="295">
        <f t="shared" si="3"/>
        <v>44049</v>
      </c>
      <c r="V104" s="6"/>
      <c r="W104" s="296">
        <v>614289</v>
      </c>
      <c r="X104" s="6"/>
      <c r="Y104" s="44">
        <v>0.122</v>
      </c>
      <c r="Z104" s="6"/>
      <c r="AA104" s="297">
        <f t="shared" si="6"/>
        <v>3843</v>
      </c>
      <c r="AB104" s="6"/>
      <c r="AC104" s="301"/>
      <c r="AD104" s="294"/>
    </row>
    <row r="105" spans="15:31" x14ac:dyDescent="0.3">
      <c r="O105" s="110"/>
      <c r="T105" s="293"/>
      <c r="U105" s="295">
        <f t="shared" si="3"/>
        <v>44050</v>
      </c>
      <c r="V105" s="6"/>
      <c r="W105" s="296">
        <v>612883</v>
      </c>
      <c r="X105" s="6"/>
      <c r="Y105" s="44">
        <v>0.12</v>
      </c>
      <c r="Z105" s="6"/>
      <c r="AA105" s="297">
        <f t="shared" si="6"/>
        <v>1406</v>
      </c>
      <c r="AB105" s="6"/>
      <c r="AC105" s="301"/>
      <c r="AD105" s="294"/>
    </row>
    <row r="106" spans="15:31" x14ac:dyDescent="0.3">
      <c r="O106" s="110"/>
      <c r="T106" s="293"/>
      <c r="U106" s="295">
        <f t="shared" si="3"/>
        <v>44051</v>
      </c>
      <c r="V106" s="6"/>
      <c r="W106" s="296">
        <v>600161</v>
      </c>
      <c r="X106" s="6"/>
      <c r="Y106" s="44">
        <v>0.11700000000000001</v>
      </c>
      <c r="Z106" s="6"/>
      <c r="AA106" s="297">
        <f t="shared" si="6"/>
        <v>12722</v>
      </c>
      <c r="AB106" s="6"/>
      <c r="AC106" s="301"/>
      <c r="AD106" s="294"/>
    </row>
    <row r="107" spans="15:31" x14ac:dyDescent="0.3">
      <c r="O107" s="110"/>
      <c r="T107" s="293"/>
      <c r="U107" s="295">
        <f t="shared" si="3"/>
        <v>44052</v>
      </c>
      <c r="V107" s="6"/>
      <c r="W107" s="296">
        <v>578836</v>
      </c>
      <c r="X107" s="6"/>
      <c r="Y107" s="44">
        <v>0.111</v>
      </c>
      <c r="Z107" s="6"/>
      <c r="AA107" s="297">
        <f t="shared" si="6"/>
        <v>21325</v>
      </c>
      <c r="AB107" s="6"/>
      <c r="AC107" s="301"/>
      <c r="AD107" s="294"/>
    </row>
    <row r="108" spans="15:31" x14ac:dyDescent="0.3">
      <c r="O108" s="110"/>
      <c r="T108" s="293"/>
      <c r="U108" s="295">
        <f t="shared" si="3"/>
        <v>44053</v>
      </c>
      <c r="V108" s="6"/>
      <c r="W108" s="296">
        <v>557343</v>
      </c>
      <c r="X108" s="6"/>
      <c r="Y108" s="44">
        <v>0.106</v>
      </c>
      <c r="Z108" s="6"/>
      <c r="AA108" s="297">
        <f t="shared" si="6"/>
        <v>21493</v>
      </c>
      <c r="AB108" s="6"/>
      <c r="AC108" s="301"/>
      <c r="AD108" s="294"/>
    </row>
    <row r="109" spans="15:31" x14ac:dyDescent="0.3">
      <c r="O109" s="110"/>
      <c r="T109" s="293"/>
      <c r="U109" s="295">
        <f t="shared" si="3"/>
        <v>44054</v>
      </c>
      <c r="V109" s="6"/>
      <c r="W109" s="296">
        <v>553058</v>
      </c>
      <c r="X109" s="6"/>
      <c r="Y109" s="44">
        <v>0.104</v>
      </c>
      <c r="Z109" s="6"/>
      <c r="AA109" s="297">
        <f t="shared" si="6"/>
        <v>4285</v>
      </c>
      <c r="AB109" s="6"/>
      <c r="AC109" s="301"/>
      <c r="AD109" s="294"/>
    </row>
    <row r="110" spans="15:31" x14ac:dyDescent="0.3">
      <c r="O110" s="110"/>
      <c r="T110" s="293"/>
      <c r="U110" s="295">
        <f t="shared" si="3"/>
        <v>44055</v>
      </c>
      <c r="V110" s="6"/>
      <c r="W110" s="296">
        <v>558346</v>
      </c>
      <c r="X110" s="6"/>
      <c r="Y110" s="44">
        <v>0.104</v>
      </c>
      <c r="Z110" s="6"/>
      <c r="AA110" s="297">
        <f t="shared" si="6"/>
        <v>-5288</v>
      </c>
      <c r="AB110" s="6"/>
      <c r="AC110" s="301"/>
      <c r="AD110" s="294"/>
    </row>
    <row r="111" spans="15:31" x14ac:dyDescent="0.3">
      <c r="O111" s="110"/>
      <c r="T111" s="293"/>
      <c r="U111" s="295">
        <f t="shared" si="3"/>
        <v>44056</v>
      </c>
      <c r="V111" s="6"/>
      <c r="W111" s="296">
        <v>565064</v>
      </c>
      <c r="X111" s="6"/>
      <c r="Y111" s="44">
        <v>0.104</v>
      </c>
      <c r="Z111" s="6"/>
      <c r="AA111" s="297">
        <f t="shared" si="6"/>
        <v>-6718</v>
      </c>
      <c r="AB111" s="6"/>
      <c r="AC111" s="301"/>
      <c r="AD111" s="294"/>
    </row>
    <row r="112" spans="15:31" x14ac:dyDescent="0.3">
      <c r="O112" s="110"/>
      <c r="T112" s="293"/>
      <c r="U112" s="295">
        <f t="shared" si="3"/>
        <v>44057</v>
      </c>
      <c r="V112" s="6"/>
      <c r="W112" s="296">
        <v>570997</v>
      </c>
      <c r="X112" s="6"/>
      <c r="Y112" s="44">
        <v>0.104</v>
      </c>
      <c r="Z112" s="6"/>
      <c r="AA112" s="297">
        <f t="shared" si="6"/>
        <v>-5933</v>
      </c>
      <c r="AB112" s="6"/>
      <c r="AC112" s="301"/>
      <c r="AD112" s="294"/>
    </row>
    <row r="113" spans="15:30" x14ac:dyDescent="0.3">
      <c r="O113" s="110"/>
      <c r="T113" s="293"/>
      <c r="U113" s="295">
        <f t="shared" si="3"/>
        <v>44058</v>
      </c>
      <c r="V113" s="6"/>
      <c r="W113" s="296">
        <v>569341</v>
      </c>
      <c r="X113" s="6"/>
      <c r="Y113" s="44">
        <v>0.10299999999999999</v>
      </c>
      <c r="Z113" s="6"/>
      <c r="AA113" s="297">
        <f t="shared" si="6"/>
        <v>1656</v>
      </c>
      <c r="AB113" s="6"/>
      <c r="AC113" s="301"/>
      <c r="AD113" s="294"/>
    </row>
    <row r="114" spans="15:30" x14ac:dyDescent="0.3">
      <c r="O114" s="110"/>
      <c r="T114" s="293"/>
      <c r="U114" s="295">
        <f t="shared" si="3"/>
        <v>44059</v>
      </c>
      <c r="V114" s="6"/>
      <c r="W114" s="296">
        <v>547525</v>
      </c>
      <c r="X114" s="6"/>
      <c r="Y114" s="44">
        <v>9.8000000000000004E-2</v>
      </c>
      <c r="Z114" s="6"/>
      <c r="AA114" s="297">
        <f t="shared" si="6"/>
        <v>21816</v>
      </c>
      <c r="AB114" s="6"/>
      <c r="AC114" s="301"/>
      <c r="AD114" s="294"/>
    </row>
    <row r="115" spans="15:30" x14ac:dyDescent="0.3">
      <c r="O115" s="110"/>
      <c r="T115" s="293"/>
      <c r="U115" s="295">
        <f t="shared" si="3"/>
        <v>44060</v>
      </c>
      <c r="V115" s="6"/>
      <c r="W115" s="296">
        <v>524856</v>
      </c>
      <c r="X115" s="6"/>
      <c r="Y115" s="44">
        <v>9.4E-2</v>
      </c>
      <c r="Z115" s="6"/>
      <c r="AA115" s="297">
        <f t="shared" si="6"/>
        <v>22669</v>
      </c>
      <c r="AB115" s="6"/>
      <c r="AC115" s="301"/>
      <c r="AD115" s="294"/>
    </row>
    <row r="116" spans="15:30" x14ac:dyDescent="0.3">
      <c r="O116" s="110"/>
      <c r="T116" s="293"/>
      <c r="U116" s="295">
        <f t="shared" si="3"/>
        <v>44061</v>
      </c>
      <c r="V116" s="6"/>
      <c r="W116" s="296">
        <v>514420</v>
      </c>
      <c r="X116" s="6"/>
      <c r="Y116" s="44">
        <v>9.0999999999999998E-2</v>
      </c>
      <c r="Z116" s="6"/>
      <c r="AA116" s="297">
        <f t="shared" si="6"/>
        <v>10436</v>
      </c>
      <c r="AB116" s="6"/>
      <c r="AC116" s="301"/>
      <c r="AD116" s="294"/>
    </row>
    <row r="117" spans="15:30" x14ac:dyDescent="0.3">
      <c r="O117" s="110"/>
      <c r="T117" s="293"/>
      <c r="U117" s="295">
        <f t="shared" si="3"/>
        <v>44062</v>
      </c>
      <c r="V117" s="6"/>
      <c r="W117" s="296">
        <v>511437</v>
      </c>
      <c r="X117" s="6"/>
      <c r="Y117" s="44">
        <v>0.09</v>
      </c>
      <c r="Z117" s="6"/>
      <c r="AA117" s="297">
        <f t="shared" si="6"/>
        <v>2983</v>
      </c>
      <c r="AB117" s="6"/>
      <c r="AC117" s="301"/>
      <c r="AD117" s="294"/>
    </row>
    <row r="118" spans="15:30" x14ac:dyDescent="0.3">
      <c r="O118" s="110"/>
      <c r="T118" s="293"/>
      <c r="U118" s="295">
        <f t="shared" si="3"/>
        <v>44063</v>
      </c>
      <c r="V118" s="6"/>
      <c r="W118" s="296">
        <v>506920</v>
      </c>
      <c r="X118" s="6"/>
      <c r="Y118" s="44">
        <v>8.7999999999999995E-2</v>
      </c>
      <c r="Z118" s="6"/>
      <c r="AA118" s="297">
        <f t="shared" si="6"/>
        <v>4517</v>
      </c>
      <c r="AB118" s="6"/>
      <c r="AC118" s="301"/>
      <c r="AD118" s="294"/>
    </row>
    <row r="119" spans="15:30" x14ac:dyDescent="0.3">
      <c r="O119" s="110"/>
      <c r="T119" s="293"/>
      <c r="U119" s="295">
        <f t="shared" si="3"/>
        <v>44064</v>
      </c>
      <c r="V119" s="6"/>
      <c r="W119" s="296">
        <v>502856</v>
      </c>
      <c r="X119" s="6"/>
      <c r="Y119" s="44">
        <v>8.6999999999999994E-2</v>
      </c>
      <c r="Z119" s="6"/>
      <c r="AA119" s="297">
        <f t="shared" si="6"/>
        <v>4064</v>
      </c>
      <c r="AB119" s="6"/>
      <c r="AC119" s="301"/>
      <c r="AD119" s="294"/>
    </row>
    <row r="120" spans="15:30" x14ac:dyDescent="0.3">
      <c r="O120" s="110"/>
      <c r="T120" s="293"/>
      <c r="U120" s="295">
        <f t="shared" si="3"/>
        <v>44065</v>
      </c>
      <c r="V120" s="6"/>
      <c r="W120" s="296">
        <v>492262</v>
      </c>
      <c r="X120" s="6"/>
      <c r="Y120" s="44">
        <v>8.4000000000000005E-2</v>
      </c>
      <c r="Z120" s="6"/>
      <c r="AA120" s="297">
        <f t="shared" ref="AA120:AA137" si="7">+W119-W120</f>
        <v>10594</v>
      </c>
      <c r="AB120" s="6"/>
      <c r="AC120" s="301"/>
      <c r="AD120" s="294"/>
    </row>
    <row r="121" spans="15:30" x14ac:dyDescent="0.3">
      <c r="O121" s="110"/>
      <c r="T121" s="293"/>
      <c r="U121" s="295">
        <f t="shared" si="3"/>
        <v>44066</v>
      </c>
      <c r="V121" s="6"/>
      <c r="W121" s="296">
        <v>469594</v>
      </c>
      <c r="X121" s="6"/>
      <c r="Y121" s="44">
        <f>+L$36</f>
        <v>5.7533796348351048E-2</v>
      </c>
      <c r="Z121" s="6"/>
      <c r="AA121" s="297">
        <f t="shared" si="7"/>
        <v>22668</v>
      </c>
      <c r="AB121" s="6"/>
      <c r="AC121" s="301"/>
      <c r="AD121" s="294"/>
    </row>
    <row r="122" spans="15:30" x14ac:dyDescent="0.3">
      <c r="O122" s="110"/>
      <c r="T122" s="293"/>
      <c r="U122" s="295">
        <f t="shared" si="3"/>
        <v>44067</v>
      </c>
      <c r="V122" s="6"/>
      <c r="W122" s="296">
        <v>450302</v>
      </c>
      <c r="X122" s="6"/>
      <c r="Y122" s="44">
        <v>7.5999999999999998E-2</v>
      </c>
      <c r="Z122" s="6"/>
      <c r="AA122" s="297">
        <f t="shared" si="7"/>
        <v>19292</v>
      </c>
      <c r="AB122" s="6"/>
      <c r="AC122" s="301"/>
      <c r="AD122" s="294"/>
    </row>
    <row r="123" spans="15:30" x14ac:dyDescent="0.3">
      <c r="O123" s="110"/>
      <c r="T123" s="293"/>
      <c r="U123" s="295">
        <f t="shared" si="3"/>
        <v>44068</v>
      </c>
      <c r="V123" s="6"/>
      <c r="W123" s="296">
        <v>436862</v>
      </c>
      <c r="X123" s="6"/>
      <c r="Y123" s="44">
        <v>7.2999999999999995E-2</v>
      </c>
      <c r="Z123" s="6"/>
      <c r="AA123" s="297">
        <f t="shared" si="7"/>
        <v>13440</v>
      </c>
      <c r="AB123" s="6"/>
      <c r="AC123" s="301"/>
      <c r="AD123" s="294"/>
    </row>
    <row r="124" spans="15:30" x14ac:dyDescent="0.3">
      <c r="O124" s="110"/>
      <c r="T124" s="293"/>
      <c r="U124" s="295">
        <f t="shared" si="3"/>
        <v>44069</v>
      </c>
      <c r="V124" s="6"/>
      <c r="W124" s="296">
        <v>444656</v>
      </c>
      <c r="X124" s="6"/>
      <c r="Y124" s="44">
        <v>7.3999999999999996E-2</v>
      </c>
      <c r="Z124" s="6"/>
      <c r="AA124" s="297">
        <f t="shared" si="7"/>
        <v>-7794</v>
      </c>
      <c r="AB124" s="6"/>
      <c r="AC124" s="301"/>
      <c r="AD124" s="294"/>
    </row>
    <row r="125" spans="15:30" x14ac:dyDescent="0.3">
      <c r="O125" s="110"/>
      <c r="T125" s="293"/>
      <c r="U125" s="295">
        <f t="shared" si="3"/>
        <v>44070</v>
      </c>
      <c r="V125" s="6"/>
      <c r="W125" s="296">
        <v>449813</v>
      </c>
      <c r="X125" s="6"/>
      <c r="Y125" s="44">
        <v>7.3999999999999996E-2</v>
      </c>
      <c r="Z125" s="6"/>
      <c r="AA125" s="297">
        <f t="shared" si="7"/>
        <v>-5157</v>
      </c>
      <c r="AB125" s="6"/>
      <c r="AC125" s="301"/>
      <c r="AD125" s="294"/>
    </row>
    <row r="126" spans="15:30" x14ac:dyDescent="0.3">
      <c r="O126" s="110"/>
      <c r="T126" s="293"/>
      <c r="U126" s="295">
        <f t="shared" si="3"/>
        <v>44071</v>
      </c>
      <c r="V126" s="6"/>
      <c r="W126" s="296">
        <v>455415</v>
      </c>
      <c r="X126" s="6"/>
      <c r="Y126" s="44">
        <v>7.4999999999999997E-2</v>
      </c>
      <c r="Z126" s="6"/>
      <c r="AA126" s="297">
        <f t="shared" si="7"/>
        <v>-5602</v>
      </c>
      <c r="AB126" s="6"/>
      <c r="AC126" s="301"/>
      <c r="AD126" s="294"/>
    </row>
    <row r="127" spans="15:30" x14ac:dyDescent="0.3">
      <c r="O127" s="110"/>
      <c r="T127" s="293"/>
      <c r="U127" s="295">
        <f t="shared" si="3"/>
        <v>44072</v>
      </c>
      <c r="V127" s="6"/>
      <c r="W127" s="296">
        <v>452896</v>
      </c>
      <c r="X127" s="6"/>
      <c r="Y127" s="44">
        <v>7.3999999999999996E-2</v>
      </c>
      <c r="Z127" s="6"/>
      <c r="AA127" s="297">
        <f t="shared" si="7"/>
        <v>2519</v>
      </c>
      <c r="AB127" s="6"/>
      <c r="AC127" s="301"/>
      <c r="AD127" s="294"/>
    </row>
    <row r="128" spans="15:30" x14ac:dyDescent="0.3">
      <c r="O128" s="110"/>
      <c r="T128" s="293"/>
      <c r="U128" s="295">
        <f t="shared" si="3"/>
        <v>44073</v>
      </c>
      <c r="V128" s="6"/>
      <c r="W128" s="296">
        <v>441491</v>
      </c>
      <c r="X128" s="6"/>
      <c r="Y128" s="44">
        <v>7.1999999999999995E-2</v>
      </c>
      <c r="Z128" s="6"/>
      <c r="AA128" s="297">
        <f t="shared" si="7"/>
        <v>11405</v>
      </c>
      <c r="AB128" s="6"/>
      <c r="AC128" s="301"/>
      <c r="AD128" s="294"/>
    </row>
    <row r="129" spans="15:30" x14ac:dyDescent="0.3">
      <c r="O129" s="110"/>
      <c r="T129" s="293"/>
      <c r="U129" s="295">
        <f t="shared" si="3"/>
        <v>44074</v>
      </c>
      <c r="V129" s="6"/>
      <c r="W129" s="296">
        <v>429438</v>
      </c>
      <c r="X129" s="6"/>
      <c r="Y129" s="44">
        <v>6.9000000000000006E-2</v>
      </c>
      <c r="Z129" s="6"/>
      <c r="AA129" s="297">
        <f t="shared" si="7"/>
        <v>12053</v>
      </c>
      <c r="AB129" s="6"/>
      <c r="AC129" s="301"/>
      <c r="AD129" s="294"/>
    </row>
    <row r="130" spans="15:30" x14ac:dyDescent="0.3">
      <c r="O130" s="110"/>
      <c r="T130" s="293"/>
      <c r="U130" s="295">
        <f t="shared" si="3"/>
        <v>44075</v>
      </c>
      <c r="V130" s="6"/>
      <c r="W130" s="296">
        <v>427588</v>
      </c>
      <c r="X130" s="6"/>
      <c r="Y130" s="44">
        <v>6.8000000000000005E-2</v>
      </c>
      <c r="Z130" s="6"/>
      <c r="AA130" s="297">
        <f t="shared" si="7"/>
        <v>1850</v>
      </c>
      <c r="AB130" s="6"/>
      <c r="AC130" s="301"/>
      <c r="AD130" s="294"/>
    </row>
    <row r="131" spans="15:30" x14ac:dyDescent="0.3">
      <c r="O131" s="110"/>
      <c r="T131" s="293"/>
      <c r="U131" s="295">
        <f t="shared" si="3"/>
        <v>44076</v>
      </c>
      <c r="V131" s="6"/>
      <c r="W131" s="296">
        <v>435318</v>
      </c>
      <c r="X131" s="6"/>
      <c r="Y131" s="44">
        <v>6.9000000000000006E-2</v>
      </c>
      <c r="Z131" s="6"/>
      <c r="AA131" s="297">
        <f t="shared" si="7"/>
        <v>-7730</v>
      </c>
      <c r="AB131" s="6"/>
      <c r="AC131" s="301"/>
      <c r="AD131" s="294"/>
    </row>
    <row r="132" spans="15:30" x14ac:dyDescent="0.3">
      <c r="O132" s="110"/>
      <c r="T132" s="293"/>
      <c r="U132" s="295">
        <f t="shared" si="3"/>
        <v>44077</v>
      </c>
      <c r="V132" s="6"/>
      <c r="W132" s="296">
        <v>438282</v>
      </c>
      <c r="X132" s="6"/>
      <c r="Y132" s="44">
        <v>6.9000000000000006E-2</v>
      </c>
      <c r="Z132" s="6"/>
      <c r="AA132" s="297">
        <f t="shared" si="7"/>
        <v>-2964</v>
      </c>
      <c r="AB132" s="6"/>
      <c r="AC132" s="301"/>
      <c r="AD132" s="294"/>
    </row>
    <row r="133" spans="15:30" x14ac:dyDescent="0.3">
      <c r="O133" s="110"/>
      <c r="T133" s="293"/>
      <c r="U133" s="295">
        <f t="shared" si="3"/>
        <v>44078</v>
      </c>
      <c r="V133" s="6"/>
      <c r="W133" s="296">
        <v>451057</v>
      </c>
      <c r="X133" s="6"/>
      <c r="Y133" s="44">
        <v>7.0999999999999994E-2</v>
      </c>
      <c r="Z133" s="6"/>
      <c r="AA133" s="297">
        <f t="shared" si="7"/>
        <v>-12775</v>
      </c>
      <c r="AB133" s="6"/>
      <c r="AC133" s="301"/>
      <c r="AD133" s="294"/>
    </row>
    <row r="134" spans="15:30" x14ac:dyDescent="0.3">
      <c r="O134" s="110"/>
      <c r="T134" s="293"/>
      <c r="U134" s="295">
        <f t="shared" si="3"/>
        <v>44079</v>
      </c>
      <c r="V134" s="6"/>
      <c r="W134" s="296">
        <v>448392</v>
      </c>
      <c r="X134" s="6"/>
      <c r="Y134" s="44">
        <v>7.0000000000000007E-2</v>
      </c>
      <c r="Z134" s="6"/>
      <c r="AA134" s="297">
        <f t="shared" si="7"/>
        <v>2665</v>
      </c>
      <c r="AB134" s="6"/>
      <c r="AC134" s="301"/>
      <c r="AD134" s="294"/>
    </row>
    <row r="135" spans="15:30" x14ac:dyDescent="0.3">
      <c r="O135" s="110"/>
      <c r="T135" s="293"/>
      <c r="U135" s="295">
        <f t="shared" si="3"/>
        <v>44080</v>
      </c>
      <c r="V135" s="6"/>
      <c r="W135" s="296">
        <v>433235</v>
      </c>
      <c r="X135" s="6"/>
      <c r="Y135" s="44">
        <v>6.7000000000000004E-2</v>
      </c>
      <c r="Z135" s="6"/>
      <c r="AA135" s="297">
        <f t="shared" si="7"/>
        <v>15157</v>
      </c>
      <c r="AB135" s="6"/>
      <c r="AC135" s="301"/>
      <c r="AD135" s="294"/>
    </row>
    <row r="136" spans="15:30" x14ac:dyDescent="0.3">
      <c r="O136" s="110"/>
      <c r="T136" s="293"/>
      <c r="U136" s="295">
        <f t="shared" si="3"/>
        <v>44081</v>
      </c>
      <c r="V136" s="6"/>
      <c r="W136" s="296">
        <v>408867</v>
      </c>
      <c r="X136" s="6"/>
      <c r="Y136" s="44">
        <v>6.3E-2</v>
      </c>
      <c r="Z136" s="6"/>
      <c r="AA136" s="297">
        <f t="shared" si="7"/>
        <v>24368</v>
      </c>
      <c r="AB136" s="6"/>
      <c r="AC136" s="301"/>
      <c r="AD136" s="294"/>
    </row>
    <row r="137" spans="15:30" x14ac:dyDescent="0.3">
      <c r="O137" s="110"/>
      <c r="T137" s="293"/>
      <c r="U137" s="295">
        <f t="shared" si="3"/>
        <v>44082</v>
      </c>
      <c r="V137" s="6"/>
      <c r="W137" s="296">
        <v>394768</v>
      </c>
      <c r="X137" s="6"/>
      <c r="Y137" s="44">
        <v>6.0999999999999999E-2</v>
      </c>
      <c r="Z137" s="6"/>
      <c r="AA137" s="297">
        <f t="shared" si="7"/>
        <v>14099</v>
      </c>
      <c r="AB137" s="6"/>
      <c r="AC137" s="301"/>
      <c r="AD137" s="294"/>
    </row>
    <row r="138" spans="15:30" x14ac:dyDescent="0.3">
      <c r="O138" s="110"/>
      <c r="T138" s="293"/>
      <c r="U138" s="295">
        <f t="shared" si="3"/>
        <v>44083</v>
      </c>
      <c r="V138" s="6"/>
      <c r="W138" s="296">
        <v>396020</v>
      </c>
      <c r="X138" s="6"/>
      <c r="Y138" s="44">
        <v>0.06</v>
      </c>
      <c r="Z138" s="6"/>
      <c r="AA138" s="297">
        <f t="shared" ref="AA138" si="8">+W137-W138</f>
        <v>-1252</v>
      </c>
      <c r="AB138" s="6"/>
      <c r="AC138" s="301"/>
      <c r="AD138" s="294"/>
    </row>
    <row r="139" spans="15:30" x14ac:dyDescent="0.3">
      <c r="O139" s="110"/>
      <c r="T139" s="293"/>
      <c r="U139" s="295">
        <f t="shared" si="3"/>
        <v>44084</v>
      </c>
      <c r="V139" s="6"/>
      <c r="W139" s="296">
        <v>397124</v>
      </c>
      <c r="X139" s="6"/>
      <c r="Y139" s="44">
        <v>0.06</v>
      </c>
      <c r="Z139" s="6"/>
      <c r="AA139" s="297">
        <f t="shared" ref="AA139" si="9">+W138-W139</f>
        <v>-1104</v>
      </c>
      <c r="AB139" s="6"/>
      <c r="AC139" s="301"/>
      <c r="AD139" s="294"/>
    </row>
    <row r="140" spans="15:30" x14ac:dyDescent="0.3">
      <c r="O140" s="110"/>
      <c r="T140" s="293"/>
      <c r="U140" s="295">
        <f t="shared" si="3"/>
        <v>44085</v>
      </c>
      <c r="V140" s="6"/>
      <c r="W140" s="296">
        <v>401586</v>
      </c>
      <c r="X140" s="6"/>
      <c r="Y140" s="44">
        <v>6.0999999999999999E-2</v>
      </c>
      <c r="Z140" s="6"/>
      <c r="AA140" s="297">
        <f t="shared" ref="AA140" si="10">+W139-W140</f>
        <v>-4462</v>
      </c>
      <c r="AB140" s="6"/>
      <c r="AC140" s="301"/>
      <c r="AD140" s="294"/>
    </row>
    <row r="141" spans="15:30" x14ac:dyDescent="0.3">
      <c r="O141" s="110"/>
      <c r="T141" s="293"/>
      <c r="U141" s="295">
        <f t="shared" si="3"/>
        <v>44086</v>
      </c>
      <c r="V141" s="6"/>
      <c r="W141" s="296">
        <v>399676</v>
      </c>
      <c r="X141" s="6"/>
      <c r="Y141" s="44">
        <v>0.06</v>
      </c>
      <c r="Z141" s="6"/>
      <c r="AA141" s="297">
        <f t="shared" ref="AA141" si="11">+W140-W141</f>
        <v>1910</v>
      </c>
      <c r="AB141" s="6"/>
      <c r="AC141" s="301"/>
      <c r="AD141" s="294"/>
    </row>
    <row r="142" spans="15:30" x14ac:dyDescent="0.3">
      <c r="O142" s="110"/>
      <c r="T142" s="293"/>
      <c r="U142" s="295">
        <f t="shared" si="3"/>
        <v>44087</v>
      </c>
      <c r="V142" s="6"/>
      <c r="W142" s="296">
        <f>+I$36</f>
        <v>385816</v>
      </c>
      <c r="X142" s="6"/>
      <c r="Y142" s="44">
        <f>+L$36</f>
        <v>5.7533796348351048E-2</v>
      </c>
      <c r="Z142" s="6"/>
      <c r="AA142" s="297">
        <f t="shared" ref="AA142" si="12">+W141-W142</f>
        <v>13860</v>
      </c>
      <c r="AB142" s="6"/>
      <c r="AC142" s="301"/>
      <c r="AD142" s="294"/>
    </row>
    <row r="143" spans="15:30" x14ac:dyDescent="0.3">
      <c r="O143" s="110"/>
      <c r="T143" s="293"/>
      <c r="U143" s="295">
        <f t="shared" si="3"/>
        <v>44088</v>
      </c>
      <c r="V143" s="6"/>
      <c r="W143" s="296"/>
      <c r="X143" s="6"/>
      <c r="Y143" s="44"/>
      <c r="Z143" s="6"/>
      <c r="AA143" s="297"/>
      <c r="AB143" s="6"/>
      <c r="AC143" s="301"/>
      <c r="AD143" s="294"/>
    </row>
    <row r="144" spans="15:30" x14ac:dyDescent="0.3">
      <c r="O144" s="110"/>
      <c r="T144" s="293"/>
      <c r="U144" s="295">
        <f t="shared" si="3"/>
        <v>44089</v>
      </c>
      <c r="V144" s="6"/>
      <c r="W144" s="296"/>
      <c r="X144" s="6"/>
      <c r="Y144" s="44"/>
      <c r="Z144" s="6"/>
      <c r="AA144" s="297"/>
      <c r="AB144" s="6"/>
      <c r="AC144" s="301"/>
      <c r="AD144" s="294"/>
    </row>
    <row r="145" spans="5:36" x14ac:dyDescent="0.3">
      <c r="O145" s="110"/>
      <c r="T145" s="293"/>
      <c r="U145" s="295">
        <f t="shared" si="3"/>
        <v>44090</v>
      </c>
      <c r="V145" s="6"/>
      <c r="W145" s="296"/>
      <c r="X145" s="6"/>
      <c r="Y145" s="44"/>
      <c r="Z145" s="6"/>
      <c r="AA145" s="297"/>
      <c r="AB145" s="6"/>
      <c r="AC145" s="301"/>
      <c r="AD145" s="294"/>
    </row>
    <row r="146" spans="5:36" x14ac:dyDescent="0.3">
      <c r="O146" s="110"/>
      <c r="T146" s="293"/>
      <c r="U146" s="295">
        <f t="shared" si="3"/>
        <v>44091</v>
      </c>
      <c r="V146" s="6"/>
      <c r="W146" s="296"/>
      <c r="X146" s="6"/>
      <c r="Y146" s="44"/>
      <c r="Z146" s="6"/>
      <c r="AA146" s="297"/>
      <c r="AB146" s="6"/>
      <c r="AC146" s="301"/>
      <c r="AD146" s="294"/>
    </row>
    <row r="147" spans="5:36" x14ac:dyDescent="0.3">
      <c r="O147" s="110"/>
      <c r="T147" s="293"/>
      <c r="U147" s="295">
        <f t="shared" si="3"/>
        <v>44092</v>
      </c>
      <c r="V147" s="6"/>
      <c r="W147" s="296"/>
      <c r="X147" s="6"/>
      <c r="Y147" s="44"/>
      <c r="Z147" s="6"/>
      <c r="AA147" s="297"/>
      <c r="AB147" s="6"/>
      <c r="AC147" s="301"/>
      <c r="AD147" s="294"/>
    </row>
    <row r="148" spans="5:36" x14ac:dyDescent="0.3">
      <c r="O148" s="110"/>
      <c r="T148" s="293"/>
      <c r="U148" s="295">
        <f t="shared" si="3"/>
        <v>44093</v>
      </c>
      <c r="V148" s="6"/>
      <c r="W148" s="296"/>
      <c r="X148" s="6"/>
      <c r="Y148" s="44"/>
      <c r="Z148" s="6"/>
      <c r="AA148" s="297"/>
      <c r="AB148" s="6"/>
      <c r="AC148" s="301"/>
      <c r="AD148" s="294"/>
    </row>
    <row r="149" spans="5:36" x14ac:dyDescent="0.3">
      <c r="O149" s="110"/>
      <c r="T149" s="293"/>
      <c r="U149" s="295">
        <f t="shared" si="3"/>
        <v>44094</v>
      </c>
      <c r="V149" s="6"/>
      <c r="W149" s="296"/>
      <c r="X149" s="6"/>
      <c r="Y149" s="44"/>
      <c r="Z149" s="6"/>
      <c r="AA149" s="297"/>
      <c r="AB149" s="6"/>
      <c r="AC149" s="301"/>
      <c r="AD149" s="294"/>
    </row>
    <row r="150" spans="5:36" x14ac:dyDescent="0.3">
      <c r="O150" s="110"/>
      <c r="T150" s="293"/>
      <c r="U150" s="295">
        <f t="shared" si="3"/>
        <v>44095</v>
      </c>
      <c r="V150" s="6"/>
      <c r="W150" s="296"/>
      <c r="X150" s="6"/>
      <c r="Y150" s="44"/>
      <c r="Z150" s="6"/>
      <c r="AA150" s="297"/>
      <c r="AB150" s="6"/>
      <c r="AC150" s="301"/>
      <c r="AD150" s="294"/>
    </row>
    <row r="151" spans="5:36" x14ac:dyDescent="0.3">
      <c r="O151" s="110"/>
      <c r="T151" s="293"/>
      <c r="U151" s="295">
        <f t="shared" si="3"/>
        <v>44096</v>
      </c>
      <c r="V151" s="6"/>
      <c r="W151" s="296"/>
      <c r="X151" s="6"/>
      <c r="Y151" s="44"/>
      <c r="Z151" s="6"/>
      <c r="AA151" s="297"/>
      <c r="AB151" s="6"/>
      <c r="AC151" s="301"/>
      <c r="AD151" s="294"/>
    </row>
    <row r="152" spans="5:36" ht="15" thickBot="1" x14ac:dyDescent="0.35">
      <c r="O152" s="110"/>
      <c r="T152" s="298"/>
      <c r="U152" s="393">
        <f t="shared" si="3"/>
        <v>44097</v>
      </c>
      <c r="V152" s="290"/>
      <c r="W152" s="394"/>
      <c r="X152" s="290"/>
      <c r="Y152" s="299"/>
      <c r="Z152" s="290"/>
      <c r="AA152" s="395"/>
      <c r="AB152" s="290"/>
      <c r="AC152" s="396"/>
      <c r="AD152" s="300"/>
    </row>
    <row r="153" spans="5:36" x14ac:dyDescent="0.3">
      <c r="O153" s="110"/>
    </row>
    <row r="154" spans="5:36" x14ac:dyDescent="0.3">
      <c r="O154" s="110"/>
      <c r="P154" s="57"/>
      <c r="Q154" s="57"/>
      <c r="R154" s="57"/>
    </row>
    <row r="155" spans="5:36" x14ac:dyDescent="0.3">
      <c r="O155" s="110"/>
    </row>
    <row r="156" spans="5:36" ht="15" thickBot="1" x14ac:dyDescent="0.35">
      <c r="O156" s="110"/>
    </row>
    <row r="157" spans="5:36" ht="15.6" thickTop="1" thickBot="1" x14ac:dyDescent="0.35">
      <c r="Q157" s="484"/>
      <c r="R157" s="485"/>
      <c r="S157" s="485"/>
      <c r="T157" s="485"/>
      <c r="U157" s="485"/>
      <c r="V157" s="485"/>
      <c r="W157" s="485"/>
      <c r="X157" s="485"/>
      <c r="Y157" s="485"/>
      <c r="Z157" s="485"/>
      <c r="AA157" s="485"/>
      <c r="AB157" s="486"/>
    </row>
    <row r="158" spans="5:36" ht="15" thickBot="1" x14ac:dyDescent="0.35">
      <c r="E158" s="646" t="s">
        <v>119</v>
      </c>
      <c r="F158" s="647"/>
      <c r="G158" s="647"/>
      <c r="H158" s="647"/>
      <c r="I158" s="647"/>
      <c r="J158" s="647"/>
      <c r="K158" s="647"/>
      <c r="L158" s="647"/>
      <c r="M158" s="648"/>
      <c r="Q158" s="487"/>
      <c r="R158" s="6"/>
      <c r="S158" s="6"/>
      <c r="T158" s="6"/>
      <c r="U158" s="5" t="s">
        <v>146</v>
      </c>
      <c r="V158" s="5"/>
      <c r="W158" s="5"/>
      <c r="X158" s="5"/>
      <c r="Y158" s="5"/>
      <c r="Z158" s="5"/>
      <c r="AA158" s="5" t="s">
        <v>30</v>
      </c>
      <c r="AB158" s="488"/>
    </row>
    <row r="159" spans="5:36" x14ac:dyDescent="0.3">
      <c r="E159" s="438"/>
      <c r="F159" s="439" t="s">
        <v>120</v>
      </c>
      <c r="G159" s="439"/>
      <c r="H159" s="439"/>
      <c r="I159" s="649">
        <v>21477737</v>
      </c>
      <c r="J159" s="649"/>
      <c r="K159" s="649"/>
      <c r="L159" s="649"/>
      <c r="M159" s="440"/>
      <c r="Q159" s="487"/>
      <c r="R159" s="480" t="s">
        <v>148</v>
      </c>
      <c r="S159" s="6"/>
      <c r="T159" s="6"/>
      <c r="U159" s="480" t="s">
        <v>147</v>
      </c>
      <c r="V159" s="5"/>
      <c r="W159" s="480" t="s">
        <v>20</v>
      </c>
      <c r="X159" s="5"/>
      <c r="Y159" s="480" t="s">
        <v>4</v>
      </c>
      <c r="Z159" s="5"/>
      <c r="AA159" s="489" t="s">
        <v>145</v>
      </c>
      <c r="AB159" s="488"/>
    </row>
    <row r="160" spans="5:36" x14ac:dyDescent="0.3">
      <c r="E160" s="438"/>
      <c r="F160" s="439" t="s">
        <v>110</v>
      </c>
      <c r="G160" s="439"/>
      <c r="H160" s="439"/>
      <c r="I160" s="439"/>
      <c r="J160" s="439"/>
      <c r="K160" s="439"/>
      <c r="L160" s="441">
        <f>+I172/I159</f>
        <v>4.5847474526762295E-4</v>
      </c>
      <c r="M160" s="440"/>
      <c r="Q160" s="487"/>
      <c r="R160" s="6" t="s">
        <v>135</v>
      </c>
      <c r="S160" s="6"/>
      <c r="T160" s="6"/>
      <c r="U160" s="7">
        <v>2003</v>
      </c>
      <c r="V160" s="6"/>
      <c r="W160" s="7">
        <v>389666</v>
      </c>
      <c r="X160" s="6"/>
      <c r="Y160" s="7">
        <v>31257</v>
      </c>
      <c r="Z160" s="6"/>
      <c r="AA160" s="296">
        <f>+AJ160</f>
        <v>19500</v>
      </c>
      <c r="AB160" s="488"/>
      <c r="AJ160" s="1">
        <v>19500</v>
      </c>
    </row>
    <row r="161" spans="4:36" x14ac:dyDescent="0.3">
      <c r="E161" s="438"/>
      <c r="F161" s="650" t="s">
        <v>108</v>
      </c>
      <c r="G161" s="650"/>
      <c r="H161" s="439"/>
      <c r="I161" s="439"/>
      <c r="J161" s="439"/>
      <c r="K161" s="439"/>
      <c r="L161" s="442">
        <f>+I172/(I159/100000)</f>
        <v>45.847474526762298</v>
      </c>
      <c r="M161" s="440"/>
      <c r="Q161" s="487"/>
      <c r="R161" s="6" t="s">
        <v>136</v>
      </c>
      <c r="S161" s="6"/>
      <c r="T161" s="6"/>
      <c r="U161" s="7">
        <v>1913</v>
      </c>
      <c r="V161" s="6"/>
      <c r="W161" s="7">
        <v>169892</v>
      </c>
      <c r="X161" s="6"/>
      <c r="Y161" s="7">
        <v>13076</v>
      </c>
      <c r="Z161" s="6"/>
      <c r="AA161" s="296">
        <f t="shared" ref="AA161:AA169" si="13">+AJ161</f>
        <v>8900</v>
      </c>
      <c r="AB161" s="488"/>
      <c r="AJ161" s="1">
        <v>8900</v>
      </c>
    </row>
    <row r="162" spans="4:36" x14ac:dyDescent="0.3">
      <c r="E162" s="438"/>
      <c r="F162" s="443"/>
      <c r="G162" s="443"/>
      <c r="H162" s="439"/>
      <c r="I162" s="439"/>
      <c r="J162" s="439"/>
      <c r="K162" s="439"/>
      <c r="L162" s="442"/>
      <c r="M162" s="440"/>
      <c r="Q162" s="487"/>
      <c r="R162" s="6" t="s">
        <v>137</v>
      </c>
      <c r="S162" s="6"/>
      <c r="T162" s="6"/>
      <c r="U162" s="7">
        <v>1568</v>
      </c>
      <c r="V162" s="6"/>
      <c r="W162" s="7">
        <v>16606</v>
      </c>
      <c r="X162" s="6"/>
      <c r="Y162" s="7">
        <v>912</v>
      </c>
      <c r="Z162" s="6"/>
      <c r="AA162" s="296">
        <f t="shared" si="13"/>
        <v>1100</v>
      </c>
      <c r="AB162" s="488"/>
      <c r="AJ162" s="1">
        <v>1100</v>
      </c>
    </row>
    <row r="163" spans="4:36" x14ac:dyDescent="0.3">
      <c r="E163" s="438"/>
      <c r="F163" s="443" t="s">
        <v>121</v>
      </c>
      <c r="G163" s="443"/>
      <c r="H163" s="650" t="s">
        <v>122</v>
      </c>
      <c r="I163" s="650"/>
      <c r="J163" s="439"/>
      <c r="K163" s="439"/>
      <c r="L163" s="442"/>
      <c r="M163" s="440"/>
      <c r="Q163" s="487"/>
      <c r="R163" s="6" t="s">
        <v>58</v>
      </c>
      <c r="S163" s="6"/>
      <c r="T163" s="6"/>
      <c r="U163" s="7">
        <v>1561</v>
      </c>
      <c r="V163" s="6"/>
      <c r="W163" s="7">
        <v>107611</v>
      </c>
      <c r="X163" s="6"/>
      <c r="Y163" s="7">
        <v>7937</v>
      </c>
      <c r="Z163" s="6"/>
      <c r="AA163" s="296">
        <f t="shared" si="13"/>
        <v>7000</v>
      </c>
      <c r="AB163" s="488"/>
      <c r="AJ163" s="1">
        <v>7000</v>
      </c>
    </row>
    <row r="164" spans="4:36" ht="15" thickBot="1" x14ac:dyDescent="0.35">
      <c r="E164" s="444"/>
      <c r="F164" s="445"/>
      <c r="G164" s="445"/>
      <c r="H164" s="445"/>
      <c r="I164" s="445"/>
      <c r="J164" s="445"/>
      <c r="K164" s="445"/>
      <c r="L164" s="445"/>
      <c r="M164" s="446"/>
      <c r="Q164" s="487"/>
      <c r="R164" s="6" t="s">
        <v>142</v>
      </c>
      <c r="S164" s="6"/>
      <c r="T164" s="6"/>
      <c r="U164" s="7">
        <v>1435</v>
      </c>
      <c r="V164" s="6"/>
      <c r="W164" s="7">
        <v>10128</v>
      </c>
      <c r="X164" s="6"/>
      <c r="Y164" s="7">
        <v>541</v>
      </c>
      <c r="Z164" s="6"/>
      <c r="AA164" s="296">
        <f t="shared" si="13"/>
        <v>700</v>
      </c>
      <c r="AB164" s="488"/>
      <c r="AJ164" s="1">
        <v>700</v>
      </c>
    </row>
    <row r="165" spans="4:36" x14ac:dyDescent="0.3">
      <c r="Q165" s="487"/>
      <c r="R165" s="6" t="s">
        <v>138</v>
      </c>
      <c r="S165" s="6"/>
      <c r="T165" s="6"/>
      <c r="U165" s="7">
        <v>1288</v>
      </c>
      <c r="V165" s="6"/>
      <c r="W165" s="7">
        <v>45913</v>
      </c>
      <c r="X165" s="6"/>
      <c r="Y165" s="7">
        <v>4287</v>
      </c>
      <c r="Z165" s="6"/>
      <c r="AA165" s="296">
        <f t="shared" si="13"/>
        <v>3600</v>
      </c>
      <c r="AB165" s="488"/>
      <c r="AJ165" s="1">
        <v>3600</v>
      </c>
    </row>
    <row r="166" spans="4:36" ht="15" thickBot="1" x14ac:dyDescent="0.35">
      <c r="D166" s="90"/>
      <c r="E166" s="151"/>
      <c r="F166" s="151"/>
      <c r="G166" s="151"/>
      <c r="H166" s="151"/>
      <c r="I166" s="353"/>
      <c r="J166" s="90"/>
      <c r="K166" s="110"/>
      <c r="L166" s="110"/>
      <c r="M166" s="110"/>
      <c r="N166" s="110"/>
      <c r="Q166" s="487"/>
      <c r="R166" s="6" t="s">
        <v>143</v>
      </c>
      <c r="S166" s="6"/>
      <c r="T166" s="6"/>
      <c r="U166" s="7">
        <v>1129</v>
      </c>
      <c r="V166" s="6"/>
      <c r="W166" s="7">
        <v>52477</v>
      </c>
      <c r="X166" s="6"/>
      <c r="Y166" s="7">
        <v>3152</v>
      </c>
      <c r="Z166" s="6"/>
      <c r="AA166" s="296">
        <f t="shared" si="13"/>
        <v>4600</v>
      </c>
      <c r="AB166" s="488"/>
      <c r="AJ166" s="1">
        <v>4600</v>
      </c>
    </row>
    <row r="167" spans="4:36" ht="16.2" thickBot="1" x14ac:dyDescent="0.35">
      <c r="D167" s="424"/>
      <c r="E167" s="651" t="s">
        <v>132</v>
      </c>
      <c r="F167" s="652"/>
      <c r="G167" s="652"/>
      <c r="H167" s="652"/>
      <c r="I167" s="652"/>
      <c r="J167" s="653"/>
      <c r="K167" s="425"/>
      <c r="L167" s="437" t="s">
        <v>10</v>
      </c>
      <c r="M167" s="426"/>
      <c r="N167" s="110"/>
      <c r="Q167" s="487"/>
      <c r="R167" s="6" t="s">
        <v>139</v>
      </c>
      <c r="S167" s="6"/>
      <c r="T167" s="6"/>
      <c r="U167" s="7">
        <v>1118</v>
      </c>
      <c r="V167" s="6"/>
      <c r="W167" s="7">
        <v>10889</v>
      </c>
      <c r="X167" s="6"/>
      <c r="Y167" s="7">
        <v>505</v>
      </c>
      <c r="Z167" s="6"/>
      <c r="AA167" s="296">
        <f t="shared" si="13"/>
        <v>980</v>
      </c>
      <c r="AB167" s="488"/>
      <c r="AJ167" s="1">
        <v>980</v>
      </c>
    </row>
    <row r="168" spans="4:36" x14ac:dyDescent="0.3">
      <c r="D168" s="403"/>
      <c r="E168" s="427" t="s">
        <v>88</v>
      </c>
      <c r="F168" s="16"/>
      <c r="G168" s="16"/>
      <c r="H168" s="16"/>
      <c r="I168" s="654">
        <f>+K81</f>
        <v>48675</v>
      </c>
      <c r="J168" s="654"/>
      <c r="K168" s="16"/>
      <c r="L168" s="60">
        <f>+I168/$I$168</f>
        <v>1</v>
      </c>
      <c r="M168" s="428"/>
      <c r="N168" s="110"/>
      <c r="Q168" s="487"/>
      <c r="R168" s="6" t="s">
        <v>140</v>
      </c>
      <c r="S168" s="6"/>
      <c r="T168" s="6"/>
      <c r="U168" s="7">
        <v>1093</v>
      </c>
      <c r="V168" s="6"/>
      <c r="W168" s="7">
        <v>138546</v>
      </c>
      <c r="X168" s="6"/>
      <c r="Y168" s="7">
        <v>6770</v>
      </c>
      <c r="Z168" s="6"/>
      <c r="AA168" s="296">
        <f t="shared" si="13"/>
        <v>12700</v>
      </c>
      <c r="AB168" s="488"/>
      <c r="AJ168" s="1">
        <v>12700</v>
      </c>
    </row>
    <row r="169" spans="4:36" x14ac:dyDescent="0.3">
      <c r="D169" s="403"/>
      <c r="E169" s="427"/>
      <c r="F169" s="16"/>
      <c r="G169" s="16"/>
      <c r="H169" s="16"/>
      <c r="I169" s="16"/>
      <c r="J169" s="16"/>
      <c r="K169" s="16"/>
      <c r="L169" s="16"/>
      <c r="M169" s="428"/>
      <c r="N169" s="110"/>
      <c r="Q169" s="487"/>
      <c r="R169" s="6" t="s">
        <v>141</v>
      </c>
      <c r="S169" s="6"/>
      <c r="T169" s="6"/>
      <c r="U169" s="490">
        <v>1081</v>
      </c>
      <c r="V169" s="6"/>
      <c r="W169" s="490">
        <v>65337</v>
      </c>
      <c r="X169" s="6"/>
      <c r="Y169" s="490">
        <v>3108</v>
      </c>
      <c r="Z169" s="6"/>
      <c r="AA169" s="491">
        <f t="shared" si="13"/>
        <v>6100</v>
      </c>
      <c r="AB169" s="488"/>
      <c r="AJ169" s="482">
        <v>6100</v>
      </c>
    </row>
    <row r="170" spans="4:36" x14ac:dyDescent="0.3">
      <c r="D170" s="415"/>
      <c r="E170" s="15"/>
      <c r="F170" s="429" t="s">
        <v>113</v>
      </c>
      <c r="G170" s="429"/>
      <c r="H170" s="15"/>
      <c r="I170" s="655">
        <f>+I81</f>
        <v>36684</v>
      </c>
      <c r="J170" s="656"/>
      <c r="K170" s="15"/>
      <c r="L170" s="60">
        <f>+I170/$I$168</f>
        <v>0.75365177195685673</v>
      </c>
      <c r="M170" s="408"/>
      <c r="N170" s="110"/>
      <c r="Q170" s="487"/>
      <c r="R170" s="5" t="s">
        <v>33</v>
      </c>
      <c r="S170" s="6"/>
      <c r="T170" s="6"/>
      <c r="U170" s="296">
        <f>+W170/(AA170/100)</f>
        <v>1545.0521632402579</v>
      </c>
      <c r="V170" s="6"/>
      <c r="W170" s="296">
        <f>SUM(W160:W169)</f>
        <v>1007065</v>
      </c>
      <c r="X170" s="6"/>
      <c r="Y170" s="296">
        <f>SUM(Y160:Y169)</f>
        <v>71545</v>
      </c>
      <c r="Z170" s="6"/>
      <c r="AA170" s="296">
        <f>SUM(AA160:AA169)</f>
        <v>65180</v>
      </c>
      <c r="AB170" s="488"/>
      <c r="AJ170" s="56">
        <f>SUM(AJ160:AJ169)</f>
        <v>65180</v>
      </c>
    </row>
    <row r="171" spans="4:36" x14ac:dyDescent="0.3">
      <c r="D171" s="415"/>
      <c r="E171" s="15"/>
      <c r="F171" s="15" t="s">
        <v>89</v>
      </c>
      <c r="G171" s="15"/>
      <c r="H171" s="15"/>
      <c r="I171" s="657">
        <f>+I75</f>
        <v>2144</v>
      </c>
      <c r="J171" s="658"/>
      <c r="K171" s="15"/>
      <c r="L171" s="60">
        <f>+I171/$I$168</f>
        <v>4.4047252182845401E-2</v>
      </c>
      <c r="M171" s="408"/>
      <c r="N171" s="110"/>
      <c r="Q171" s="487"/>
      <c r="R171" s="5"/>
      <c r="S171" s="6"/>
      <c r="T171" s="6"/>
      <c r="U171" s="6"/>
      <c r="V171" s="6"/>
      <c r="W171" s="296"/>
      <c r="X171" s="6"/>
      <c r="Y171" s="296"/>
      <c r="Z171" s="6"/>
      <c r="AA171" s="6"/>
      <c r="AB171" s="488"/>
      <c r="AJ171" s="56"/>
    </row>
    <row r="172" spans="4:36" ht="15" thickBot="1" x14ac:dyDescent="0.35">
      <c r="D172" s="415"/>
      <c r="E172" s="643" t="s">
        <v>114</v>
      </c>
      <c r="F172" s="643"/>
      <c r="G172" s="643"/>
      <c r="H172" s="15"/>
      <c r="I172" s="644">
        <f>+I168-I170-I171</f>
        <v>9847</v>
      </c>
      <c r="J172" s="645"/>
      <c r="K172" s="430"/>
      <c r="L172" s="431">
        <f>+I172/$I$168</f>
        <v>0.20230097586029788</v>
      </c>
      <c r="M172" s="408"/>
      <c r="N172" s="110"/>
      <c r="Q172" s="487"/>
      <c r="R172" s="5" t="s">
        <v>59</v>
      </c>
      <c r="S172" s="6"/>
      <c r="T172" s="6"/>
      <c r="U172" s="7">
        <v>7441</v>
      </c>
      <c r="V172" s="6"/>
      <c r="W172" s="7">
        <f>+'Main Table'!H106</f>
        <v>2465403</v>
      </c>
      <c r="X172" s="6"/>
      <c r="Y172" s="7">
        <f>+'Main Table'!AA106</f>
        <v>126977</v>
      </c>
      <c r="Z172" s="6"/>
      <c r="AA172" s="296">
        <v>331000</v>
      </c>
      <c r="AB172" s="488"/>
      <c r="AJ172" s="56">
        <v>333000</v>
      </c>
    </row>
    <row r="173" spans="4:36" ht="15.6" thickTop="1" thickBot="1" x14ac:dyDescent="0.35">
      <c r="D173" s="415"/>
      <c r="E173" s="432"/>
      <c r="F173" s="432"/>
      <c r="G173" s="432"/>
      <c r="H173" s="15"/>
      <c r="I173" s="433"/>
      <c r="J173" s="432"/>
      <c r="K173" s="430"/>
      <c r="L173" s="434"/>
      <c r="M173" s="408"/>
      <c r="N173" s="110"/>
      <c r="Q173" s="487"/>
      <c r="R173" s="5" t="s">
        <v>144</v>
      </c>
      <c r="S173" s="6"/>
      <c r="T173" s="6"/>
      <c r="U173" s="492"/>
      <c r="V173" s="6"/>
      <c r="W173" s="493">
        <f>+W170/W172</f>
        <v>0.40847885720914595</v>
      </c>
      <c r="X173" s="6"/>
      <c r="Y173" s="493">
        <f>+Y170/Y172</f>
        <v>0.56344849854698098</v>
      </c>
      <c r="Z173" s="6"/>
      <c r="AA173" s="493">
        <f>+AA170/AA172</f>
        <v>0.19691842900302114</v>
      </c>
      <c r="AB173" s="488"/>
      <c r="AJ173" s="483">
        <f>+AJ170/AJ172</f>
        <v>0.19573573573573574</v>
      </c>
    </row>
    <row r="174" spans="4:36" ht="15.6" thickTop="1" thickBot="1" x14ac:dyDescent="0.35">
      <c r="D174" s="435"/>
      <c r="E174" s="436"/>
      <c r="F174" s="436"/>
      <c r="G174" s="436"/>
      <c r="H174" s="436"/>
      <c r="I174" s="436"/>
      <c r="J174" s="436"/>
      <c r="K174" s="436"/>
      <c r="L174" s="436"/>
      <c r="M174" s="423"/>
      <c r="N174" s="110"/>
      <c r="Q174" s="494"/>
      <c r="R174" s="495"/>
      <c r="S174" s="495"/>
      <c r="T174" s="495"/>
      <c r="U174" s="495"/>
      <c r="V174" s="495"/>
      <c r="W174" s="495"/>
      <c r="X174" s="495"/>
      <c r="Y174" s="495"/>
      <c r="Z174" s="495"/>
      <c r="AA174" s="495"/>
      <c r="AB174" s="496"/>
    </row>
    <row r="178" spans="6:23" x14ac:dyDescent="0.3">
      <c r="F178" s="1">
        <v>1248371</v>
      </c>
    </row>
    <row r="179" spans="6:23" x14ac:dyDescent="0.3">
      <c r="W179" s="1"/>
    </row>
    <row r="180" spans="6:23" x14ac:dyDescent="0.3">
      <c r="F180">
        <v>700</v>
      </c>
    </row>
    <row r="181" spans="6:23" x14ac:dyDescent="0.3">
      <c r="F181" s="87">
        <f>+F180/F178</f>
        <v>5.6073074430597954E-4</v>
      </c>
    </row>
    <row r="183" spans="6:23" x14ac:dyDescent="0.3">
      <c r="F183" s="1">
        <v>60000</v>
      </c>
    </row>
    <row r="184" spans="6:23" x14ac:dyDescent="0.3">
      <c r="F184">
        <f>+F181*F183</f>
        <v>33.643844658358773</v>
      </c>
    </row>
    <row r="186" spans="6:23" x14ac:dyDescent="0.3">
      <c r="F186" s="1">
        <v>331000000</v>
      </c>
    </row>
    <row r="187" spans="6:23" x14ac:dyDescent="0.3">
      <c r="F187" s="56">
        <f>+W86</f>
        <v>811067</v>
      </c>
    </row>
    <row r="188" spans="6:23" x14ac:dyDescent="0.3">
      <c r="F188" s="57">
        <f>+F187/F186</f>
        <v>2.4503534743202417E-3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172:G172"/>
    <mergeCell ref="I172:J172"/>
    <mergeCell ref="E158:M158"/>
    <mergeCell ref="I159:L159"/>
    <mergeCell ref="F161:G161"/>
    <mergeCell ref="E167:J167"/>
    <mergeCell ref="I168:J168"/>
    <mergeCell ref="I170:J170"/>
    <mergeCell ref="I171:J171"/>
    <mergeCell ref="H163:I163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10" workbookViewId="0">
      <selection activeCell="J15" sqref="J1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99" t="s">
        <v>5</v>
      </c>
      <c r="C1" s="599"/>
      <c r="D1" s="599"/>
    </row>
    <row r="2" spans="2:31" ht="15.6" x14ac:dyDescent="0.3">
      <c r="B2" s="599" t="s">
        <v>6</v>
      </c>
      <c r="C2" s="599"/>
      <c r="D2" s="599"/>
    </row>
    <row r="3" spans="2:31" ht="15.6" x14ac:dyDescent="0.3">
      <c r="B3" s="256" t="s">
        <v>13</v>
      </c>
      <c r="C3" s="256"/>
      <c r="D3" s="166"/>
    </row>
    <row r="4" spans="2:31" ht="15.6" x14ac:dyDescent="0.3">
      <c r="B4" s="167"/>
      <c r="C4" s="167"/>
      <c r="D4" s="166"/>
    </row>
    <row r="5" spans="2:31" ht="15.6" x14ac:dyDescent="0.3">
      <c r="B5" s="167"/>
      <c r="C5" s="167"/>
      <c r="D5" s="166" t="s">
        <v>83</v>
      </c>
      <c r="F5" s="257" t="s">
        <v>84</v>
      </c>
    </row>
    <row r="6" spans="2:31" ht="15.6" x14ac:dyDescent="0.3">
      <c r="B6" s="167"/>
      <c r="C6" s="167"/>
      <c r="D6" s="166"/>
      <c r="F6" t="s">
        <v>87</v>
      </c>
    </row>
    <row r="7" spans="2:31" ht="15.6" x14ac:dyDescent="0.3">
      <c r="B7" s="167"/>
      <c r="C7" s="167"/>
      <c r="D7" s="166"/>
      <c r="F7" s="257" t="s">
        <v>86</v>
      </c>
    </row>
    <row r="8" spans="2:31" ht="15.6" x14ac:dyDescent="0.3">
      <c r="B8" s="167"/>
      <c r="C8" s="167"/>
      <c r="D8" s="166"/>
      <c r="F8" s="257" t="s">
        <v>85</v>
      </c>
    </row>
    <row r="9" spans="2:31" ht="15.6" x14ac:dyDescent="0.3">
      <c r="B9" s="167"/>
      <c r="C9" s="167"/>
      <c r="D9" s="166"/>
      <c r="F9" s="257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707" t="s">
        <v>23</v>
      </c>
      <c r="E12" s="708"/>
      <c r="F12" s="708"/>
      <c r="G12" s="708"/>
      <c r="H12" s="708"/>
      <c r="I12" s="708"/>
      <c r="J12" s="708"/>
      <c r="K12" s="708"/>
      <c r="L12" s="708"/>
      <c r="M12" s="708"/>
      <c r="N12" s="708"/>
      <c r="O12" s="708"/>
      <c r="P12" s="708"/>
      <c r="Q12" s="708"/>
      <c r="R12" s="708"/>
      <c r="S12" s="708"/>
      <c r="T12" s="708"/>
      <c r="U12" s="709"/>
      <c r="V12" s="59"/>
    </row>
    <row r="13" spans="2:31" ht="15" thickBot="1" x14ac:dyDescent="0.35">
      <c r="D13" s="226" t="s">
        <v>19</v>
      </c>
      <c r="E13" s="76"/>
      <c r="F13" s="227" t="s">
        <v>20</v>
      </c>
      <c r="G13" s="77"/>
      <c r="H13" s="77"/>
      <c r="I13" s="77"/>
      <c r="J13" s="228" t="s">
        <v>21</v>
      </c>
      <c r="K13" s="77"/>
      <c r="L13" s="227" t="s">
        <v>18</v>
      </c>
      <c r="M13" s="78"/>
      <c r="N13" s="78"/>
      <c r="O13" s="78"/>
      <c r="P13" s="227" t="s">
        <v>20</v>
      </c>
      <c r="Q13" s="78"/>
      <c r="R13" s="78"/>
      <c r="S13" s="78"/>
      <c r="T13" s="227" t="s">
        <v>22</v>
      </c>
      <c r="U13" s="229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1">
        <v>0.1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1">
        <v>0.01</v>
      </c>
      <c r="U14" s="229"/>
      <c r="V14" s="1"/>
      <c r="X14" s="233"/>
      <c r="Y14" s="706" t="s">
        <v>62</v>
      </c>
      <c r="Z14" s="706"/>
      <c r="AA14" s="706"/>
      <c r="AB14" s="706"/>
      <c r="AC14" s="706"/>
      <c r="AD14" s="234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93978.500000000015</v>
      </c>
      <c r="G15" s="81"/>
      <c r="H15" s="81"/>
      <c r="I15" s="81"/>
      <c r="J15" s="82">
        <f t="shared" ref="J15:J59" si="2">+J14</f>
        <v>0.1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86289.35</v>
      </c>
      <c r="Q15" s="81"/>
      <c r="R15" s="81"/>
      <c r="S15" s="81"/>
      <c r="T15" s="82">
        <f t="shared" ref="T15:T59" si="5">+T14</f>
        <v>0.01</v>
      </c>
      <c r="U15" s="229"/>
      <c r="V15" s="1"/>
      <c r="X15" s="235"/>
      <c r="Y15" s="236" t="s">
        <v>63</v>
      </c>
      <c r="Z15" s="237"/>
      <c r="AA15" s="236" t="s">
        <v>64</v>
      </c>
      <c r="AB15" s="238"/>
      <c r="AC15" s="239" t="s">
        <v>10</v>
      </c>
      <c r="AD15" s="240"/>
      <c r="AE15" s="1"/>
    </row>
    <row r="16" spans="2:31" x14ac:dyDescent="0.3">
      <c r="D16" s="79">
        <f t="shared" si="0"/>
        <v>43918</v>
      </c>
      <c r="E16" s="80"/>
      <c r="F16" s="81">
        <f t="shared" si="1"/>
        <v>103376.35000000002</v>
      </c>
      <c r="G16" s="81"/>
      <c r="H16" s="81"/>
      <c r="I16" s="81"/>
      <c r="J16" s="82">
        <f t="shared" si="2"/>
        <v>0.1</v>
      </c>
      <c r="K16" s="81"/>
      <c r="L16" s="81">
        <f t="shared" si="3"/>
        <v>2</v>
      </c>
      <c r="M16" s="81"/>
      <c r="N16" s="81"/>
      <c r="O16" s="81"/>
      <c r="P16" s="81">
        <f t="shared" si="4"/>
        <v>87152.243500000011</v>
      </c>
      <c r="Q16" s="81"/>
      <c r="R16" s="81"/>
      <c r="S16" s="81"/>
      <c r="T16" s="82">
        <f t="shared" si="5"/>
        <v>0.01</v>
      </c>
      <c r="U16" s="229"/>
      <c r="V16" s="1"/>
      <c r="X16" s="235"/>
      <c r="Y16" s="241" t="s">
        <v>59</v>
      </c>
      <c r="Z16" s="241"/>
      <c r="AA16" s="242">
        <v>330</v>
      </c>
      <c r="AB16" s="241"/>
      <c r="AC16" s="243">
        <f>+AA16/AA16</f>
        <v>1</v>
      </c>
      <c r="AD16" s="240"/>
      <c r="AE16" s="1"/>
    </row>
    <row r="17" spans="4:33" x14ac:dyDescent="0.3">
      <c r="D17" s="79">
        <f t="shared" si="0"/>
        <v>43919</v>
      </c>
      <c r="E17" s="80"/>
      <c r="F17" s="81">
        <f t="shared" si="1"/>
        <v>113713.98500000003</v>
      </c>
      <c r="G17" s="81"/>
      <c r="H17" s="81"/>
      <c r="I17" s="81"/>
      <c r="J17" s="82">
        <f t="shared" si="2"/>
        <v>0.1</v>
      </c>
      <c r="K17" s="81"/>
      <c r="L17" s="81">
        <f t="shared" si="3"/>
        <v>3</v>
      </c>
      <c r="M17" s="81"/>
      <c r="N17" s="81"/>
      <c r="O17" s="81"/>
      <c r="P17" s="81">
        <f t="shared" si="4"/>
        <v>88023.765935000018</v>
      </c>
      <c r="Q17" s="81"/>
      <c r="R17" s="81"/>
      <c r="S17" s="81"/>
      <c r="T17" s="82">
        <f t="shared" si="5"/>
        <v>0.01</v>
      </c>
      <c r="U17" s="229"/>
      <c r="V17" s="1"/>
      <c r="X17" s="235"/>
      <c r="Y17" s="244" t="s">
        <v>61</v>
      </c>
      <c r="Z17" s="241"/>
      <c r="AA17" s="245">
        <v>53.42</v>
      </c>
      <c r="AB17" s="241"/>
      <c r="AC17" s="243">
        <f>+AA17/AA16</f>
        <v>0.16187878787878787</v>
      </c>
      <c r="AD17" s="240"/>
      <c r="AE17" s="1"/>
    </row>
    <row r="18" spans="4:33" x14ac:dyDescent="0.3">
      <c r="D18" s="79">
        <f t="shared" si="0"/>
        <v>43920</v>
      </c>
      <c r="E18" s="80"/>
      <c r="F18" s="81">
        <f t="shared" si="1"/>
        <v>125085.38350000004</v>
      </c>
      <c r="G18" s="81"/>
      <c r="H18" s="81"/>
      <c r="I18" s="81"/>
      <c r="J18" s="82">
        <f t="shared" si="2"/>
        <v>0.1</v>
      </c>
      <c r="K18" s="81"/>
      <c r="L18" s="81">
        <f t="shared" si="3"/>
        <v>4</v>
      </c>
      <c r="M18" s="81"/>
      <c r="N18" s="81"/>
      <c r="O18" s="81"/>
      <c r="P18" s="81">
        <f t="shared" si="4"/>
        <v>88904.003594350012</v>
      </c>
      <c r="Q18" s="81"/>
      <c r="R18" s="81"/>
      <c r="S18" s="81"/>
      <c r="T18" s="82">
        <f t="shared" si="5"/>
        <v>0.01</v>
      </c>
      <c r="U18" s="229"/>
      <c r="V18" s="1"/>
      <c r="X18" s="235"/>
      <c r="Y18" s="246" t="s">
        <v>65</v>
      </c>
      <c r="Z18" s="246"/>
      <c r="AA18" s="242">
        <f>+AC18*AA17</f>
        <v>11.37846</v>
      </c>
      <c r="AB18" s="241"/>
      <c r="AC18" s="243">
        <v>0.21299999999999999</v>
      </c>
      <c r="AD18" s="240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137593.92185000004</v>
      </c>
      <c r="G19" s="81"/>
      <c r="H19" s="81"/>
      <c r="I19" s="81"/>
      <c r="J19" s="82">
        <f t="shared" si="2"/>
        <v>0.1</v>
      </c>
      <c r="K19" s="81"/>
      <c r="L19" s="81">
        <f t="shared" si="3"/>
        <v>5</v>
      </c>
      <c r="M19" s="81"/>
      <c r="N19" s="81"/>
      <c r="O19" s="81"/>
      <c r="P19" s="81">
        <f t="shared" si="4"/>
        <v>89793.043630293512</v>
      </c>
      <c r="Q19" s="81"/>
      <c r="R19" s="81"/>
      <c r="S19" s="81"/>
      <c r="T19" s="82">
        <f t="shared" si="5"/>
        <v>0.01</v>
      </c>
      <c r="U19" s="229"/>
      <c r="V19" s="1"/>
      <c r="X19" s="247"/>
      <c r="Y19" s="248" t="s">
        <v>66</v>
      </c>
      <c r="Z19" s="248"/>
      <c r="AA19" s="249"/>
      <c r="AB19" s="250"/>
      <c r="AC19" s="249">
        <f>+AA18/AA16</f>
        <v>3.448018181818182E-2</v>
      </c>
      <c r="AD19" s="251"/>
      <c r="AE19" s="1"/>
    </row>
    <row r="20" spans="4:33" x14ac:dyDescent="0.3">
      <c r="D20" s="79">
        <f t="shared" si="0"/>
        <v>43922</v>
      </c>
      <c r="E20" s="80"/>
      <c r="F20" s="81">
        <f t="shared" si="1"/>
        <v>151353.31403500005</v>
      </c>
      <c r="G20" s="81"/>
      <c r="H20" s="81"/>
      <c r="I20" s="81"/>
      <c r="J20" s="82">
        <f t="shared" si="2"/>
        <v>0.1</v>
      </c>
      <c r="K20" s="81"/>
      <c r="L20" s="81">
        <f t="shared" si="3"/>
        <v>6</v>
      </c>
      <c r="M20" s="81"/>
      <c r="N20" s="81"/>
      <c r="O20" s="81"/>
      <c r="P20" s="81">
        <f t="shared" si="4"/>
        <v>90690.974066596449</v>
      </c>
      <c r="Q20" s="81"/>
      <c r="R20" s="81"/>
      <c r="S20" s="81"/>
      <c r="T20" s="82">
        <f t="shared" si="5"/>
        <v>0.01</v>
      </c>
      <c r="U20" s="229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166488.64543850007</v>
      </c>
      <c r="G21" s="81"/>
      <c r="H21" s="81"/>
      <c r="I21" s="81"/>
      <c r="J21" s="82">
        <f t="shared" si="2"/>
        <v>0.1</v>
      </c>
      <c r="K21" s="81"/>
      <c r="L21" s="81">
        <f t="shared" si="3"/>
        <v>7</v>
      </c>
      <c r="M21" s="81"/>
      <c r="N21" s="81"/>
      <c r="O21" s="81"/>
      <c r="P21" s="81">
        <f t="shared" si="4"/>
        <v>91597.88380726242</v>
      </c>
      <c r="Q21" s="81"/>
      <c r="R21" s="81"/>
      <c r="S21" s="81"/>
      <c r="T21" s="82">
        <f t="shared" si="5"/>
        <v>0.01</v>
      </c>
      <c r="U21" s="229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183137.50998235008</v>
      </c>
      <c r="G22" s="81"/>
      <c r="H22" s="81"/>
      <c r="I22" s="81"/>
      <c r="J22" s="82">
        <f t="shared" si="2"/>
        <v>0.1</v>
      </c>
      <c r="K22" s="81"/>
      <c r="L22" s="81">
        <f t="shared" si="3"/>
        <v>8</v>
      </c>
      <c r="M22" s="81"/>
      <c r="N22" s="81"/>
      <c r="O22" s="81"/>
      <c r="P22" s="81">
        <f t="shared" si="4"/>
        <v>92513.862645335044</v>
      </c>
      <c r="Q22" s="81"/>
      <c r="R22" s="81"/>
      <c r="S22" s="81"/>
      <c r="T22" s="82">
        <f t="shared" si="5"/>
        <v>0.01</v>
      </c>
      <c r="U22" s="229"/>
      <c r="V22" s="1"/>
    </row>
    <row r="23" spans="4:33" x14ac:dyDescent="0.3">
      <c r="D23" s="79">
        <f t="shared" si="0"/>
        <v>43925</v>
      </c>
      <c r="E23" s="80"/>
      <c r="F23" s="81">
        <f t="shared" si="1"/>
        <v>201451.2609805851</v>
      </c>
      <c r="G23" s="81"/>
      <c r="H23" s="81"/>
      <c r="I23" s="81"/>
      <c r="J23" s="82">
        <f t="shared" si="2"/>
        <v>0.1</v>
      </c>
      <c r="K23" s="81"/>
      <c r="L23" s="81">
        <f t="shared" si="3"/>
        <v>9</v>
      </c>
      <c r="M23" s="81"/>
      <c r="N23" s="81"/>
      <c r="O23" s="81"/>
      <c r="P23" s="81">
        <f t="shared" si="4"/>
        <v>93439.001271788395</v>
      </c>
      <c r="Q23" s="81"/>
      <c r="R23" s="81"/>
      <c r="S23" s="81"/>
      <c r="T23" s="82">
        <f t="shared" si="5"/>
        <v>0.01</v>
      </c>
      <c r="U23" s="229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221596.38707864363</v>
      </c>
      <c r="G24" s="81"/>
      <c r="H24" s="81"/>
      <c r="I24" s="81"/>
      <c r="J24" s="82">
        <f t="shared" si="2"/>
        <v>0.1</v>
      </c>
      <c r="K24" s="81"/>
      <c r="L24" s="81">
        <f t="shared" si="3"/>
        <v>10</v>
      </c>
      <c r="M24" s="81"/>
      <c r="N24" s="81"/>
      <c r="O24" s="81"/>
      <c r="P24" s="81">
        <f t="shared" si="4"/>
        <v>94373.391284506273</v>
      </c>
      <c r="Q24" s="81"/>
      <c r="R24" s="81"/>
      <c r="S24" s="81"/>
      <c r="T24" s="82">
        <f t="shared" si="5"/>
        <v>0.01</v>
      </c>
      <c r="U24" s="229"/>
      <c r="V24" s="1"/>
      <c r="X24" s="110"/>
      <c r="Y24" s="114"/>
      <c r="Z24" s="255"/>
      <c r="AA24" s="255"/>
      <c r="AB24" s="255"/>
      <c r="AC24" s="255"/>
      <c r="AD24" s="255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243756.02578650802</v>
      </c>
      <c r="G25" s="81"/>
      <c r="H25" s="81"/>
      <c r="I25" s="81"/>
      <c r="J25" s="82">
        <f t="shared" si="2"/>
        <v>0.1</v>
      </c>
      <c r="K25" s="81"/>
      <c r="L25" s="81">
        <f t="shared" si="3"/>
        <v>11</v>
      </c>
      <c r="M25" s="81"/>
      <c r="N25" s="81"/>
      <c r="O25" s="81"/>
      <c r="P25" s="81">
        <f t="shared" si="4"/>
        <v>95317.125197351343</v>
      </c>
      <c r="Q25" s="81"/>
      <c r="R25" s="81"/>
      <c r="S25" s="81"/>
      <c r="T25" s="82">
        <f t="shared" si="5"/>
        <v>0.01</v>
      </c>
      <c r="U25" s="229"/>
      <c r="V25" s="1"/>
      <c r="X25" s="110"/>
      <c r="Y25" s="254"/>
      <c r="Z25" s="254"/>
      <c r="AA25" s="254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268131.62836515886</v>
      </c>
      <c r="G26" s="81"/>
      <c r="H26" s="81"/>
      <c r="I26" s="81"/>
      <c r="J26" s="82">
        <f t="shared" si="2"/>
        <v>0.1</v>
      </c>
      <c r="K26" s="81"/>
      <c r="L26" s="81">
        <f t="shared" si="3"/>
        <v>12</v>
      </c>
      <c r="M26" s="81"/>
      <c r="N26" s="81"/>
      <c r="O26" s="81"/>
      <c r="P26" s="81">
        <f t="shared" si="4"/>
        <v>96270.296449324858</v>
      </c>
      <c r="Q26" s="81"/>
      <c r="R26" s="81"/>
      <c r="S26" s="81"/>
      <c r="T26" s="82">
        <f t="shared" si="5"/>
        <v>0.01</v>
      </c>
      <c r="U26" s="229"/>
      <c r="V26" s="1"/>
      <c r="X26" s="110"/>
      <c r="Y26" s="114"/>
      <c r="Z26" s="114"/>
      <c r="AA26" s="114"/>
      <c r="AB26" s="110"/>
      <c r="AC26" s="252"/>
      <c r="AD26" s="110"/>
      <c r="AE26" s="253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294944.79120167479</v>
      </c>
      <c r="G27" s="81"/>
      <c r="H27" s="81"/>
      <c r="I27" s="81"/>
      <c r="J27" s="82">
        <f t="shared" si="2"/>
        <v>0.1</v>
      </c>
      <c r="K27" s="81"/>
      <c r="L27" s="81">
        <f t="shared" si="3"/>
        <v>13</v>
      </c>
      <c r="M27" s="81"/>
      <c r="N27" s="81"/>
      <c r="O27" s="81"/>
      <c r="P27" s="81">
        <f t="shared" si="4"/>
        <v>97232.999413818106</v>
      </c>
      <c r="Q27" s="81"/>
      <c r="R27" s="81"/>
      <c r="S27" s="81"/>
      <c r="T27" s="82">
        <f t="shared" si="5"/>
        <v>0.01</v>
      </c>
      <c r="U27" s="229"/>
      <c r="V27" s="1"/>
      <c r="X27" s="110"/>
      <c r="Y27" s="114"/>
      <c r="Z27" s="114"/>
      <c r="AA27" s="114"/>
      <c r="AB27" s="110"/>
      <c r="AC27" s="252"/>
      <c r="AD27" s="110"/>
      <c r="AE27" s="253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324439.27032184228</v>
      </c>
      <c r="G28" s="81"/>
      <c r="H28" s="81"/>
      <c r="I28" s="81"/>
      <c r="J28" s="82">
        <f t="shared" si="2"/>
        <v>0.1</v>
      </c>
      <c r="K28" s="81"/>
      <c r="L28" s="81">
        <f t="shared" si="3"/>
        <v>14</v>
      </c>
      <c r="M28" s="81"/>
      <c r="N28" s="81"/>
      <c r="O28" s="81"/>
      <c r="P28" s="81">
        <f t="shared" si="4"/>
        <v>98205.329407956291</v>
      </c>
      <c r="Q28" s="81"/>
      <c r="R28" s="81"/>
      <c r="S28" s="81"/>
      <c r="T28" s="82">
        <f t="shared" si="5"/>
        <v>0.01</v>
      </c>
      <c r="U28" s="229"/>
      <c r="V28" s="1"/>
      <c r="X28" s="110"/>
      <c r="Y28" s="255"/>
      <c r="Z28" s="255"/>
      <c r="AA28" s="255"/>
      <c r="AB28" s="110"/>
      <c r="AC28" s="252"/>
      <c r="AD28" s="110"/>
      <c r="AE28" s="253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356883.19735402655</v>
      </c>
      <c r="G29" s="81"/>
      <c r="H29" s="81"/>
      <c r="I29" s="81"/>
      <c r="J29" s="82">
        <f t="shared" si="2"/>
        <v>0.1</v>
      </c>
      <c r="K29" s="81"/>
      <c r="L29" s="81">
        <f t="shared" si="3"/>
        <v>15</v>
      </c>
      <c r="M29" s="81"/>
      <c r="N29" s="81"/>
      <c r="O29" s="81"/>
      <c r="P29" s="81">
        <f t="shared" si="4"/>
        <v>99187.382702035859</v>
      </c>
      <c r="Q29" s="81"/>
      <c r="R29" s="81"/>
      <c r="S29" s="81"/>
      <c r="T29" s="82">
        <f t="shared" si="5"/>
        <v>0.01</v>
      </c>
      <c r="U29" s="229"/>
      <c r="V29" s="88"/>
      <c r="X29" s="110"/>
      <c r="Y29" s="255"/>
      <c r="Z29" s="255"/>
      <c r="AA29" s="255"/>
      <c r="AB29" s="110"/>
      <c r="AC29" s="253"/>
      <c r="AD29" s="110"/>
      <c r="AE29" s="253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392571.51708942925</v>
      </c>
      <c r="G30" s="81"/>
      <c r="H30" s="81"/>
      <c r="I30" s="81"/>
      <c r="J30" s="82">
        <f t="shared" si="2"/>
        <v>0.1</v>
      </c>
      <c r="K30" s="81"/>
      <c r="L30" s="81">
        <f t="shared" si="3"/>
        <v>16</v>
      </c>
      <c r="M30" s="81"/>
      <c r="N30" s="81"/>
      <c r="O30" s="81"/>
      <c r="P30" s="81">
        <f t="shared" si="4"/>
        <v>100179.25652905622</v>
      </c>
      <c r="Q30" s="81"/>
      <c r="R30" s="81"/>
      <c r="S30" s="81"/>
      <c r="T30" s="82">
        <f t="shared" si="5"/>
        <v>0.01</v>
      </c>
      <c r="U30" s="229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431828.66879837221</v>
      </c>
      <c r="G31" s="81"/>
      <c r="H31" s="81"/>
      <c r="I31" s="81"/>
      <c r="J31" s="82">
        <f t="shared" si="2"/>
        <v>0.1</v>
      </c>
      <c r="K31" s="81"/>
      <c r="L31" s="81">
        <f t="shared" si="3"/>
        <v>17</v>
      </c>
      <c r="M31" s="81"/>
      <c r="N31" s="81"/>
      <c r="O31" s="81"/>
      <c r="P31" s="81">
        <f t="shared" si="4"/>
        <v>101181.04909434679</v>
      </c>
      <c r="Q31" s="81"/>
      <c r="R31" s="81"/>
      <c r="S31" s="81"/>
      <c r="T31" s="82">
        <f t="shared" si="5"/>
        <v>0.01</v>
      </c>
      <c r="U31" s="229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475011.53567820945</v>
      </c>
      <c r="G32" s="81"/>
      <c r="H32" s="81"/>
      <c r="I32" s="81"/>
      <c r="J32" s="82">
        <f t="shared" si="2"/>
        <v>0.1</v>
      </c>
      <c r="K32" s="81"/>
      <c r="L32" s="81">
        <f t="shared" si="3"/>
        <v>18</v>
      </c>
      <c r="M32" s="81"/>
      <c r="N32" s="81"/>
      <c r="O32" s="81"/>
      <c r="P32" s="81">
        <f t="shared" si="4"/>
        <v>102192.85958529025</v>
      </c>
      <c r="Q32" s="81"/>
      <c r="R32" s="81"/>
      <c r="S32" s="81"/>
      <c r="T32" s="82">
        <f t="shared" si="5"/>
        <v>0.01</v>
      </c>
      <c r="U32" s="229"/>
      <c r="V32" s="1"/>
    </row>
    <row r="33" spans="4:22" x14ac:dyDescent="0.3">
      <c r="D33" s="79">
        <f t="shared" si="0"/>
        <v>43935</v>
      </c>
      <c r="E33" s="80"/>
      <c r="F33" s="81">
        <f t="shared" si="1"/>
        <v>522512.68924603041</v>
      </c>
      <c r="G33" s="81"/>
      <c r="H33" s="81"/>
      <c r="I33" s="81"/>
      <c r="J33" s="82">
        <f t="shared" si="2"/>
        <v>0.1</v>
      </c>
      <c r="K33" s="81"/>
      <c r="L33" s="81">
        <f t="shared" si="3"/>
        <v>19</v>
      </c>
      <c r="M33" s="81"/>
      <c r="N33" s="81"/>
      <c r="O33" s="81"/>
      <c r="P33" s="81">
        <f t="shared" si="4"/>
        <v>103214.78818114316</v>
      </c>
      <c r="Q33" s="81"/>
      <c r="R33" s="81"/>
      <c r="S33" s="81"/>
      <c r="T33" s="82">
        <f t="shared" si="5"/>
        <v>0.01</v>
      </c>
      <c r="U33" s="229"/>
      <c r="V33" s="1"/>
    </row>
    <row r="34" spans="4:22" x14ac:dyDescent="0.3">
      <c r="D34" s="79">
        <f t="shared" si="0"/>
        <v>43936</v>
      </c>
      <c r="E34" s="80"/>
      <c r="F34" s="81">
        <f t="shared" si="1"/>
        <v>574763.95817063353</v>
      </c>
      <c r="G34" s="81"/>
      <c r="H34" s="81"/>
      <c r="I34" s="81"/>
      <c r="J34" s="82">
        <f t="shared" si="2"/>
        <v>0.1</v>
      </c>
      <c r="K34" s="81"/>
      <c r="L34" s="81">
        <f t="shared" si="3"/>
        <v>20</v>
      </c>
      <c r="M34" s="81"/>
      <c r="N34" s="81"/>
      <c r="O34" s="81"/>
      <c r="P34" s="81">
        <f t="shared" si="4"/>
        <v>104246.93606295458</v>
      </c>
      <c r="Q34" s="81"/>
      <c r="R34" s="81"/>
      <c r="S34" s="81"/>
      <c r="T34" s="82">
        <f t="shared" si="5"/>
        <v>0.01</v>
      </c>
      <c r="U34" s="229"/>
      <c r="V34" s="1"/>
    </row>
    <row r="35" spans="4:22" x14ac:dyDescent="0.3">
      <c r="D35" s="79">
        <f t="shared" si="0"/>
        <v>43937</v>
      </c>
      <c r="E35" s="80"/>
      <c r="F35" s="81">
        <f t="shared" si="1"/>
        <v>632240.35398769693</v>
      </c>
      <c r="G35" s="81"/>
      <c r="H35" s="81"/>
      <c r="I35" s="81"/>
      <c r="J35" s="82">
        <f t="shared" si="2"/>
        <v>0.1</v>
      </c>
      <c r="K35" s="81"/>
      <c r="L35" s="81">
        <f t="shared" si="3"/>
        <v>21</v>
      </c>
      <c r="M35" s="81"/>
      <c r="N35" s="81"/>
      <c r="O35" s="81"/>
      <c r="P35" s="81">
        <f t="shared" si="4"/>
        <v>105289.40542358413</v>
      </c>
      <c r="Q35" s="81"/>
      <c r="R35" s="81"/>
      <c r="S35" s="81"/>
      <c r="T35" s="82">
        <f t="shared" si="5"/>
        <v>0.01</v>
      </c>
      <c r="U35" s="229"/>
      <c r="V35" s="1"/>
    </row>
    <row r="36" spans="4:22" x14ac:dyDescent="0.3">
      <c r="D36" s="79">
        <f t="shared" si="0"/>
        <v>43938</v>
      </c>
      <c r="E36" s="80"/>
      <c r="F36" s="81">
        <f t="shared" si="1"/>
        <v>695464.3893864667</v>
      </c>
      <c r="G36" s="81"/>
      <c r="H36" s="81"/>
      <c r="I36" s="81"/>
      <c r="J36" s="82">
        <f t="shared" si="2"/>
        <v>0.1</v>
      </c>
      <c r="K36" s="81"/>
      <c r="L36" s="81">
        <f t="shared" si="3"/>
        <v>22</v>
      </c>
      <c r="M36" s="81"/>
      <c r="N36" s="81"/>
      <c r="O36" s="81"/>
      <c r="P36" s="81">
        <f t="shared" si="4"/>
        <v>106342.29947781998</v>
      </c>
      <c r="Q36" s="81"/>
      <c r="R36" s="81"/>
      <c r="S36" s="81"/>
      <c r="T36" s="82">
        <f t="shared" si="5"/>
        <v>0.01</v>
      </c>
      <c r="U36" s="229"/>
      <c r="V36" s="10"/>
    </row>
    <row r="37" spans="4:22" x14ac:dyDescent="0.3">
      <c r="D37" s="79">
        <f t="shared" si="0"/>
        <v>43939</v>
      </c>
      <c r="E37" s="80"/>
      <c r="F37" s="81">
        <f t="shared" si="1"/>
        <v>765010.8283251134</v>
      </c>
      <c r="G37" s="81"/>
      <c r="H37" s="81"/>
      <c r="I37" s="81"/>
      <c r="J37" s="82">
        <f t="shared" si="2"/>
        <v>0.1</v>
      </c>
      <c r="K37" s="81"/>
      <c r="L37" s="81">
        <f t="shared" si="3"/>
        <v>23</v>
      </c>
      <c r="M37" s="81"/>
      <c r="N37" s="81"/>
      <c r="O37" s="81"/>
      <c r="P37" s="81">
        <f t="shared" si="4"/>
        <v>107405.72247259818</v>
      </c>
      <c r="Q37" s="81"/>
      <c r="R37" s="81"/>
      <c r="S37" s="81"/>
      <c r="T37" s="82">
        <f t="shared" si="5"/>
        <v>0.01</v>
      </c>
      <c r="U37" s="229"/>
      <c r="V37" s="10"/>
    </row>
    <row r="38" spans="4:22" x14ac:dyDescent="0.3">
      <c r="D38" s="79">
        <f t="shared" si="0"/>
        <v>43940</v>
      </c>
      <c r="E38" s="80"/>
      <c r="F38" s="81">
        <f t="shared" si="1"/>
        <v>841511.9111576248</v>
      </c>
      <c r="G38" s="81"/>
      <c r="H38" s="81"/>
      <c r="I38" s="81"/>
      <c r="J38" s="82">
        <f t="shared" si="2"/>
        <v>0.1</v>
      </c>
      <c r="K38" s="81"/>
      <c r="L38" s="81">
        <f t="shared" si="3"/>
        <v>24</v>
      </c>
      <c r="M38" s="81"/>
      <c r="N38" s="81"/>
      <c r="O38" s="81"/>
      <c r="P38" s="81">
        <f t="shared" si="4"/>
        <v>108479.77969732416</v>
      </c>
      <c r="Q38" s="81"/>
      <c r="R38" s="81"/>
      <c r="S38" s="81"/>
      <c r="T38" s="82">
        <f t="shared" si="5"/>
        <v>0.01</v>
      </c>
      <c r="U38" s="229"/>
      <c r="V38" s="10"/>
    </row>
    <row r="39" spans="4:22" x14ac:dyDescent="0.3">
      <c r="D39" s="79">
        <f t="shared" si="0"/>
        <v>43941</v>
      </c>
      <c r="E39" s="80"/>
      <c r="F39" s="81">
        <f t="shared" si="1"/>
        <v>925663.10227338737</v>
      </c>
      <c r="G39" s="81"/>
      <c r="H39" s="81"/>
      <c r="I39" s="81"/>
      <c r="J39" s="82">
        <f t="shared" si="2"/>
        <v>0.1</v>
      </c>
      <c r="K39" s="81"/>
      <c r="L39" s="81">
        <f t="shared" si="3"/>
        <v>25</v>
      </c>
      <c r="M39" s="81"/>
      <c r="N39" s="81"/>
      <c r="O39" s="81"/>
      <c r="P39" s="81">
        <f t="shared" si="4"/>
        <v>109564.57749429741</v>
      </c>
      <c r="Q39" s="81"/>
      <c r="R39" s="81"/>
      <c r="S39" s="81"/>
      <c r="T39" s="82">
        <f t="shared" si="5"/>
        <v>0.01</v>
      </c>
      <c r="U39" s="229"/>
      <c r="V39" s="10"/>
    </row>
    <row r="40" spans="4:22" x14ac:dyDescent="0.3">
      <c r="D40" s="79">
        <f t="shared" si="0"/>
        <v>43942</v>
      </c>
      <c r="E40" s="80"/>
      <c r="F40" s="81">
        <f t="shared" si="1"/>
        <v>1018229.4125007262</v>
      </c>
      <c r="G40" s="81"/>
      <c r="H40" s="81"/>
      <c r="I40" s="81"/>
      <c r="J40" s="82">
        <f t="shared" si="2"/>
        <v>0.1</v>
      </c>
      <c r="K40" s="81"/>
      <c r="L40" s="81">
        <f t="shared" si="3"/>
        <v>26</v>
      </c>
      <c r="M40" s="81"/>
      <c r="N40" s="81"/>
      <c r="O40" s="81"/>
      <c r="P40" s="81">
        <f t="shared" si="4"/>
        <v>110660.22326924038</v>
      </c>
      <c r="Q40" s="81"/>
      <c r="R40" s="81"/>
      <c r="S40" s="81"/>
      <c r="T40" s="82">
        <f t="shared" si="5"/>
        <v>0.01</v>
      </c>
      <c r="U40" s="229"/>
      <c r="V40" s="10"/>
    </row>
    <row r="41" spans="4:22" x14ac:dyDescent="0.3">
      <c r="D41" s="79">
        <f t="shared" si="0"/>
        <v>43943</v>
      </c>
      <c r="E41" s="80"/>
      <c r="F41" s="81">
        <f t="shared" si="1"/>
        <v>1120052.3537507989</v>
      </c>
      <c r="G41" s="81"/>
      <c r="H41" s="81"/>
      <c r="I41" s="81"/>
      <c r="J41" s="82">
        <f t="shared" si="2"/>
        <v>0.1</v>
      </c>
      <c r="K41" s="81"/>
      <c r="L41" s="81">
        <f t="shared" si="3"/>
        <v>27</v>
      </c>
      <c r="M41" s="81"/>
      <c r="N41" s="81"/>
      <c r="O41" s="81"/>
      <c r="P41" s="81">
        <f t="shared" si="4"/>
        <v>111766.82550193278</v>
      </c>
      <c r="Q41" s="81"/>
      <c r="R41" s="81"/>
      <c r="S41" s="81"/>
      <c r="T41" s="82">
        <f t="shared" si="5"/>
        <v>0.01</v>
      </c>
      <c r="U41" s="229"/>
      <c r="V41" s="10"/>
    </row>
    <row r="42" spans="4:22" x14ac:dyDescent="0.3">
      <c r="D42" s="79">
        <f t="shared" si="0"/>
        <v>43944</v>
      </c>
      <c r="E42" s="80"/>
      <c r="F42" s="81">
        <f t="shared" si="1"/>
        <v>1232057.5891258789</v>
      </c>
      <c r="G42" s="81"/>
      <c r="H42" s="81"/>
      <c r="I42" s="81"/>
      <c r="J42" s="82">
        <f t="shared" si="2"/>
        <v>0.1</v>
      </c>
      <c r="K42" s="81"/>
      <c r="L42" s="81">
        <f t="shared" si="3"/>
        <v>28</v>
      </c>
      <c r="M42" s="81"/>
      <c r="N42" s="81"/>
      <c r="O42" s="81"/>
      <c r="P42" s="81">
        <f t="shared" si="4"/>
        <v>112884.4937569521</v>
      </c>
      <c r="Q42" s="81"/>
      <c r="R42" s="81"/>
      <c r="S42" s="81"/>
      <c r="T42" s="82">
        <f t="shared" si="5"/>
        <v>0.01</v>
      </c>
      <c r="U42" s="229"/>
      <c r="V42" s="10"/>
    </row>
    <row r="43" spans="4:22" x14ac:dyDescent="0.3">
      <c r="D43" s="79">
        <f t="shared" si="0"/>
        <v>43945</v>
      </c>
      <c r="E43" s="80"/>
      <c r="F43" s="81">
        <f t="shared" si="1"/>
        <v>1355263.3480384669</v>
      </c>
      <c r="G43" s="81"/>
      <c r="H43" s="81"/>
      <c r="I43" s="81"/>
      <c r="J43" s="82">
        <f t="shared" si="2"/>
        <v>0.1</v>
      </c>
      <c r="K43" s="81"/>
      <c r="L43" s="81">
        <f t="shared" si="3"/>
        <v>29</v>
      </c>
      <c r="M43" s="81"/>
      <c r="N43" s="81"/>
      <c r="O43" s="81"/>
      <c r="P43" s="81">
        <f t="shared" si="4"/>
        <v>114013.33869452162</v>
      </c>
      <c r="Q43" s="81"/>
      <c r="R43" s="81"/>
      <c r="S43" s="81"/>
      <c r="T43" s="82">
        <f t="shared" si="5"/>
        <v>0.01</v>
      </c>
      <c r="U43" s="229"/>
      <c r="V43" s="10"/>
    </row>
    <row r="44" spans="4:22" x14ac:dyDescent="0.3">
      <c r="D44" s="79">
        <f t="shared" si="0"/>
        <v>43946</v>
      </c>
      <c r="E44" s="80"/>
      <c r="F44" s="81">
        <f t="shared" si="1"/>
        <v>1490789.6828423138</v>
      </c>
      <c r="G44" s="81"/>
      <c r="H44" s="81"/>
      <c r="I44" s="81"/>
      <c r="J44" s="82">
        <f t="shared" si="2"/>
        <v>0.1</v>
      </c>
      <c r="K44" s="81"/>
      <c r="L44" s="81">
        <f t="shared" si="3"/>
        <v>30</v>
      </c>
      <c r="M44" s="81"/>
      <c r="N44" s="81"/>
      <c r="O44" s="81"/>
      <c r="P44" s="81">
        <f t="shared" si="4"/>
        <v>115153.47208146684</v>
      </c>
      <c r="Q44" s="81"/>
      <c r="R44" s="81"/>
      <c r="S44" s="81"/>
      <c r="T44" s="82">
        <f t="shared" si="5"/>
        <v>0.01</v>
      </c>
      <c r="U44" s="229"/>
      <c r="V44" s="10"/>
    </row>
    <row r="45" spans="4:22" x14ac:dyDescent="0.3">
      <c r="D45" s="79">
        <f t="shared" si="0"/>
        <v>43947</v>
      </c>
      <c r="E45" s="80"/>
      <c r="F45" s="81">
        <f t="shared" si="1"/>
        <v>1639868.6511265454</v>
      </c>
      <c r="G45" s="81"/>
      <c r="H45" s="81"/>
      <c r="I45" s="81"/>
      <c r="J45" s="82">
        <f t="shared" si="2"/>
        <v>0.1</v>
      </c>
      <c r="K45" s="81"/>
      <c r="L45" s="81">
        <f t="shared" si="3"/>
        <v>31</v>
      </c>
      <c r="M45" s="81"/>
      <c r="N45" s="81"/>
      <c r="O45" s="81"/>
      <c r="P45" s="81">
        <f t="shared" si="4"/>
        <v>116305.00680228151</v>
      </c>
      <c r="Q45" s="81"/>
      <c r="R45" s="81"/>
      <c r="S45" s="81"/>
      <c r="T45" s="82">
        <f t="shared" si="5"/>
        <v>0.01</v>
      </c>
      <c r="U45" s="229"/>
      <c r="V45" s="10"/>
    </row>
    <row r="46" spans="4:22" x14ac:dyDescent="0.3">
      <c r="D46" s="79">
        <f t="shared" si="0"/>
        <v>43948</v>
      </c>
      <c r="E46" s="80"/>
      <c r="F46" s="81">
        <f t="shared" si="1"/>
        <v>1803855.5162392</v>
      </c>
      <c r="G46" s="81"/>
      <c r="H46" s="81"/>
      <c r="I46" s="81"/>
      <c r="J46" s="82">
        <f t="shared" si="2"/>
        <v>0.1</v>
      </c>
      <c r="K46" s="81"/>
      <c r="L46" s="81">
        <f t="shared" si="3"/>
        <v>32</v>
      </c>
      <c r="M46" s="81"/>
      <c r="N46" s="81"/>
      <c r="O46" s="81"/>
      <c r="P46" s="81">
        <f t="shared" si="4"/>
        <v>117468.05687030432</v>
      </c>
      <c r="Q46" s="81"/>
      <c r="R46" s="81"/>
      <c r="S46" s="81"/>
      <c r="T46" s="82">
        <f t="shared" si="5"/>
        <v>0.01</v>
      </c>
      <c r="U46" s="229"/>
      <c r="V46" s="10"/>
    </row>
    <row r="47" spans="4:22" x14ac:dyDescent="0.3">
      <c r="D47" s="79">
        <f t="shared" si="0"/>
        <v>43949</v>
      </c>
      <c r="E47" s="80"/>
      <c r="F47" s="81">
        <f t="shared" si="1"/>
        <v>1984241.0678631202</v>
      </c>
      <c r="G47" s="81"/>
      <c r="H47" s="81"/>
      <c r="I47" s="81"/>
      <c r="J47" s="82">
        <f t="shared" si="2"/>
        <v>0.1</v>
      </c>
      <c r="K47" s="81"/>
      <c r="L47" s="81">
        <f t="shared" si="3"/>
        <v>33</v>
      </c>
      <c r="M47" s="81"/>
      <c r="N47" s="81"/>
      <c r="O47" s="81"/>
      <c r="P47" s="81">
        <f t="shared" si="4"/>
        <v>118642.73743900737</v>
      </c>
      <c r="Q47" s="81"/>
      <c r="R47" s="81"/>
      <c r="S47" s="81"/>
      <c r="T47" s="82">
        <f t="shared" si="5"/>
        <v>0.01</v>
      </c>
      <c r="U47" s="229"/>
      <c r="V47" s="10"/>
    </row>
    <row r="48" spans="4:22" x14ac:dyDescent="0.3">
      <c r="D48" s="79">
        <f t="shared" si="0"/>
        <v>43950</v>
      </c>
      <c r="E48" s="80"/>
      <c r="F48" s="81">
        <f t="shared" si="1"/>
        <v>2182665.1746494323</v>
      </c>
      <c r="G48" s="81"/>
      <c r="H48" s="81"/>
      <c r="I48" s="81"/>
      <c r="J48" s="82">
        <f t="shared" si="2"/>
        <v>0.1</v>
      </c>
      <c r="K48" s="81"/>
      <c r="L48" s="81">
        <f t="shared" si="3"/>
        <v>34</v>
      </c>
      <c r="M48" s="81"/>
      <c r="N48" s="81"/>
      <c r="O48" s="81"/>
      <c r="P48" s="81">
        <f t="shared" si="4"/>
        <v>119829.16481339744</v>
      </c>
      <c r="Q48" s="81"/>
      <c r="R48" s="81"/>
      <c r="S48" s="81"/>
      <c r="T48" s="82">
        <f t="shared" si="5"/>
        <v>0.01</v>
      </c>
      <c r="U48" s="229"/>
      <c r="V48" s="10"/>
    </row>
    <row r="49" spans="4:22" x14ac:dyDescent="0.3">
      <c r="D49" s="79">
        <f t="shared" si="0"/>
        <v>43951</v>
      </c>
      <c r="E49" s="80"/>
      <c r="F49" s="81">
        <f t="shared" si="1"/>
        <v>2400931.6921143755</v>
      </c>
      <c r="G49" s="81"/>
      <c r="H49" s="81"/>
      <c r="I49" s="81"/>
      <c r="J49" s="82">
        <f t="shared" si="2"/>
        <v>0.1</v>
      </c>
      <c r="K49" s="81"/>
      <c r="L49" s="81">
        <f t="shared" si="3"/>
        <v>35</v>
      </c>
      <c r="M49" s="81"/>
      <c r="N49" s="81"/>
      <c r="O49" s="81"/>
      <c r="P49" s="81">
        <f t="shared" si="4"/>
        <v>121027.45646153142</v>
      </c>
      <c r="Q49" s="81"/>
      <c r="R49" s="81"/>
      <c r="S49" s="81"/>
      <c r="T49" s="82">
        <f t="shared" si="5"/>
        <v>0.01</v>
      </c>
      <c r="U49" s="229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2641024.8613258135</v>
      </c>
      <c r="G50" s="81"/>
      <c r="H50" s="81"/>
      <c r="I50" s="81"/>
      <c r="J50" s="82">
        <f t="shared" si="2"/>
        <v>0.1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122237.73102614674</v>
      </c>
      <c r="Q50" s="81"/>
      <c r="R50" s="81"/>
      <c r="S50" s="81"/>
      <c r="T50" s="82">
        <f t="shared" si="5"/>
        <v>0.01</v>
      </c>
      <c r="U50" s="229"/>
      <c r="V50" s="10"/>
    </row>
    <row r="51" spans="4:22" x14ac:dyDescent="0.3">
      <c r="D51" s="79">
        <f t="shared" si="0"/>
        <v>43953</v>
      </c>
      <c r="E51" s="80"/>
      <c r="F51" s="81">
        <f t="shared" si="6"/>
        <v>2905127.3474583952</v>
      </c>
      <c r="G51" s="81"/>
      <c r="H51" s="81"/>
      <c r="I51" s="81"/>
      <c r="J51" s="82">
        <f t="shared" si="2"/>
        <v>0.1</v>
      </c>
      <c r="K51" s="81"/>
      <c r="L51" s="81">
        <f t="shared" si="3"/>
        <v>37</v>
      </c>
      <c r="M51" s="81"/>
      <c r="N51" s="81"/>
      <c r="O51" s="81"/>
      <c r="P51" s="81">
        <f t="shared" si="7"/>
        <v>123460.1083364082</v>
      </c>
      <c r="Q51" s="81"/>
      <c r="R51" s="81"/>
      <c r="S51" s="81"/>
      <c r="T51" s="82">
        <f t="shared" si="5"/>
        <v>0.01</v>
      </c>
      <c r="U51" s="229"/>
      <c r="V51" s="10"/>
    </row>
    <row r="52" spans="4:22" x14ac:dyDescent="0.3">
      <c r="D52" s="79">
        <f t="shared" si="0"/>
        <v>43954</v>
      </c>
      <c r="E52" s="80"/>
      <c r="F52" s="81">
        <f t="shared" si="6"/>
        <v>3195640.0822042348</v>
      </c>
      <c r="G52" s="81"/>
      <c r="H52" s="81"/>
      <c r="I52" s="81"/>
      <c r="J52" s="82">
        <f t="shared" si="2"/>
        <v>0.1</v>
      </c>
      <c r="K52" s="81"/>
      <c r="L52" s="81">
        <f t="shared" si="3"/>
        <v>38</v>
      </c>
      <c r="M52" s="81"/>
      <c r="N52" s="81"/>
      <c r="O52" s="81"/>
      <c r="P52" s="81">
        <f t="shared" si="7"/>
        <v>124694.70941977229</v>
      </c>
      <c r="Q52" s="81"/>
      <c r="R52" s="81"/>
      <c r="S52" s="81"/>
      <c r="T52" s="82">
        <f t="shared" si="5"/>
        <v>0.01</v>
      </c>
      <c r="U52" s="229"/>
      <c r="V52" s="10"/>
    </row>
    <row r="53" spans="4:22" x14ac:dyDescent="0.3">
      <c r="D53" s="79">
        <f t="shared" si="0"/>
        <v>43955</v>
      </c>
      <c r="E53" s="80"/>
      <c r="F53" s="81">
        <f t="shared" si="6"/>
        <v>3515204.0904246587</v>
      </c>
      <c r="G53" s="81"/>
      <c r="H53" s="81"/>
      <c r="I53" s="81"/>
      <c r="J53" s="82">
        <f t="shared" si="2"/>
        <v>0.1</v>
      </c>
      <c r="K53" s="81"/>
      <c r="L53" s="81">
        <f t="shared" si="3"/>
        <v>39</v>
      </c>
      <c r="M53" s="81"/>
      <c r="N53" s="81"/>
      <c r="O53" s="81"/>
      <c r="P53" s="81">
        <f t="shared" si="7"/>
        <v>125941.65651397001</v>
      </c>
      <c r="Q53" s="81"/>
      <c r="R53" s="81"/>
      <c r="S53" s="81"/>
      <c r="T53" s="82">
        <f t="shared" si="5"/>
        <v>0.01</v>
      </c>
      <c r="U53" s="229"/>
      <c r="V53" s="10"/>
    </row>
    <row r="54" spans="4:22" x14ac:dyDescent="0.3">
      <c r="D54" s="79">
        <f t="shared" si="0"/>
        <v>43956</v>
      </c>
      <c r="E54" s="80"/>
      <c r="F54" s="81">
        <f t="shared" si="6"/>
        <v>3866724.4994671247</v>
      </c>
      <c r="G54" s="81"/>
      <c r="H54" s="81"/>
      <c r="I54" s="81"/>
      <c r="J54" s="82">
        <f t="shared" si="2"/>
        <v>0.1</v>
      </c>
      <c r="K54" s="81"/>
      <c r="L54" s="81">
        <f t="shared" si="3"/>
        <v>40</v>
      </c>
      <c r="M54" s="81"/>
      <c r="N54" s="81"/>
      <c r="O54" s="81"/>
      <c r="P54" s="81">
        <f t="shared" si="7"/>
        <v>127201.07307910972</v>
      </c>
      <c r="Q54" s="81"/>
      <c r="R54" s="81"/>
      <c r="S54" s="81"/>
      <c r="T54" s="82">
        <f t="shared" si="5"/>
        <v>0.01</v>
      </c>
      <c r="U54" s="229"/>
      <c r="V54" s="10"/>
    </row>
    <row r="55" spans="4:22" x14ac:dyDescent="0.3">
      <c r="D55" s="79">
        <f t="shared" si="0"/>
        <v>43957</v>
      </c>
      <c r="E55" s="80"/>
      <c r="F55" s="81">
        <f t="shared" si="6"/>
        <v>4253396.9494138379</v>
      </c>
      <c r="G55" s="81"/>
      <c r="H55" s="81"/>
      <c r="I55" s="81"/>
      <c r="J55" s="82">
        <f t="shared" si="2"/>
        <v>0.1</v>
      </c>
      <c r="K55" s="81"/>
      <c r="L55" s="81">
        <f t="shared" si="3"/>
        <v>41</v>
      </c>
      <c r="M55" s="81"/>
      <c r="N55" s="81"/>
      <c r="O55" s="81"/>
      <c r="P55" s="81">
        <f t="shared" si="7"/>
        <v>128473.08380990081</v>
      </c>
      <c r="Q55" s="81"/>
      <c r="R55" s="81"/>
      <c r="S55" s="81"/>
      <c r="T55" s="82">
        <f t="shared" si="5"/>
        <v>0.01</v>
      </c>
      <c r="U55" s="229"/>
      <c r="V55" s="10"/>
    </row>
    <row r="56" spans="4:22" x14ac:dyDescent="0.3">
      <c r="D56" s="79">
        <f t="shared" si="0"/>
        <v>43958</v>
      </c>
      <c r="E56" s="80"/>
      <c r="F56" s="81">
        <f t="shared" si="6"/>
        <v>4678736.6443552217</v>
      </c>
      <c r="G56" s="81"/>
      <c r="H56" s="81"/>
      <c r="I56" s="81"/>
      <c r="J56" s="82">
        <f t="shared" si="2"/>
        <v>0.1</v>
      </c>
      <c r="K56" s="81"/>
      <c r="L56" s="81">
        <f t="shared" si="3"/>
        <v>42</v>
      </c>
      <c r="M56" s="81"/>
      <c r="N56" s="81"/>
      <c r="O56" s="81"/>
      <c r="P56" s="81">
        <f t="shared" si="7"/>
        <v>129757.81464799982</v>
      </c>
      <c r="Q56" s="81"/>
      <c r="R56" s="81"/>
      <c r="S56" s="81"/>
      <c r="T56" s="82">
        <f t="shared" si="5"/>
        <v>0.01</v>
      </c>
      <c r="U56" s="229"/>
      <c r="V56" s="10"/>
    </row>
    <row r="57" spans="4:22" x14ac:dyDescent="0.3">
      <c r="D57" s="79">
        <f t="shared" si="0"/>
        <v>43959</v>
      </c>
      <c r="E57" s="80"/>
      <c r="F57" s="81">
        <f t="shared" si="6"/>
        <v>5146610.3087907443</v>
      </c>
      <c r="G57" s="81"/>
      <c r="H57" s="81"/>
      <c r="I57" s="81"/>
      <c r="J57" s="82">
        <f t="shared" si="2"/>
        <v>0.1</v>
      </c>
      <c r="K57" s="81"/>
      <c r="L57" s="81">
        <f t="shared" si="3"/>
        <v>43</v>
      </c>
      <c r="M57" s="81"/>
      <c r="N57" s="81"/>
      <c r="O57" s="81"/>
      <c r="P57" s="81">
        <f t="shared" si="7"/>
        <v>131055.39279447982</v>
      </c>
      <c r="Q57" s="81"/>
      <c r="R57" s="81"/>
      <c r="S57" s="81"/>
      <c r="T57" s="82">
        <f t="shared" si="5"/>
        <v>0.01</v>
      </c>
      <c r="U57" s="229"/>
      <c r="V57" s="10"/>
    </row>
    <row r="58" spans="4:22" x14ac:dyDescent="0.3">
      <c r="D58" s="79">
        <f t="shared" si="0"/>
        <v>43960</v>
      </c>
      <c r="E58" s="80"/>
      <c r="F58" s="81">
        <f t="shared" si="6"/>
        <v>5661271.339669819</v>
      </c>
      <c r="G58" s="81"/>
      <c r="H58" s="81"/>
      <c r="I58" s="81"/>
      <c r="J58" s="82">
        <f t="shared" si="2"/>
        <v>0.1</v>
      </c>
      <c r="K58" s="81"/>
      <c r="L58" s="81">
        <f t="shared" si="3"/>
        <v>44</v>
      </c>
      <c r="M58" s="81"/>
      <c r="N58" s="81"/>
      <c r="O58" s="81"/>
      <c r="P58" s="81">
        <f t="shared" si="7"/>
        <v>132365.94672242462</v>
      </c>
      <c r="Q58" s="81"/>
      <c r="R58" s="81"/>
      <c r="S58" s="81"/>
      <c r="T58" s="82">
        <f t="shared" si="5"/>
        <v>0.01</v>
      </c>
      <c r="U58" s="229"/>
      <c r="V58" s="10"/>
    </row>
    <row r="59" spans="4:22" x14ac:dyDescent="0.3">
      <c r="D59" s="79">
        <f t="shared" si="0"/>
        <v>43961</v>
      </c>
      <c r="E59" s="80"/>
      <c r="F59" s="81">
        <f t="shared" si="6"/>
        <v>6227398.4736368014</v>
      </c>
      <c r="G59" s="81"/>
      <c r="H59" s="81"/>
      <c r="I59" s="81"/>
      <c r="J59" s="82">
        <f t="shared" si="2"/>
        <v>0.1</v>
      </c>
      <c r="K59" s="81"/>
      <c r="L59" s="81">
        <f t="shared" si="3"/>
        <v>45</v>
      </c>
      <c r="M59" s="81"/>
      <c r="N59" s="81"/>
      <c r="O59" s="81"/>
      <c r="P59" s="81">
        <f t="shared" si="7"/>
        <v>133689.60618964885</v>
      </c>
      <c r="Q59" s="81"/>
      <c r="R59" s="81"/>
      <c r="S59" s="81"/>
      <c r="T59" s="82">
        <f t="shared" si="5"/>
        <v>0.01</v>
      </c>
      <c r="U59" s="229"/>
      <c r="V59" s="10"/>
    </row>
    <row r="60" spans="4:22" ht="15" thickBot="1" x14ac:dyDescent="0.35">
      <c r="D60" s="279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0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2020-09-14T09:24:12Z</dcterms:modified>
</cp:coreProperties>
</file>