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ACBFD6C7-21A2-41DC-9C10-D7F1E5EC05DE}" xr6:coauthVersionLast="47" xr6:coauthVersionMax="47" xr10:uidLastSave="{00000000-0000-0000-0000-000000000000}"/>
  <bookViews>
    <workbookView xWindow="-108" yWindow="-108" windowWidth="30936" windowHeight="16896" activeTab="1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9" i="2" l="1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E569" i="2"/>
  <c r="BP574" i="1"/>
  <c r="BO574" i="1"/>
  <c r="BJ574" i="1"/>
  <c r="BH574" i="1"/>
  <c r="BF574" i="1"/>
  <c r="BB574" i="1"/>
  <c r="AZ574" i="1"/>
  <c r="AY574" i="1"/>
  <c r="AT574" i="1"/>
  <c r="AQ574" i="1"/>
  <c r="AJ574" i="1"/>
  <c r="AH574" i="1"/>
  <c r="AD574" i="1"/>
  <c r="AB574" i="1"/>
  <c r="V574" i="1"/>
  <c r="T574" i="1"/>
  <c r="S574" i="1"/>
  <c r="R574" i="1"/>
  <c r="N574" i="1"/>
  <c r="L574" i="1"/>
  <c r="K574" i="1"/>
  <c r="J574" i="1"/>
  <c r="BP573" i="1"/>
  <c r="BO573" i="1"/>
  <c r="BN573" i="1"/>
  <c r="BN574" i="1" s="1"/>
  <c r="BL573" i="1"/>
  <c r="BL574" i="1" s="1"/>
  <c r="BK573" i="1"/>
  <c r="BK574" i="1" s="1"/>
  <c r="BJ573" i="1"/>
  <c r="BI573" i="1"/>
  <c r="BI574" i="1" s="1"/>
  <c r="BH573" i="1"/>
  <c r="BF573" i="1"/>
  <c r="BE573" i="1"/>
  <c r="BE574" i="1" s="1"/>
  <c r="BD573" i="1"/>
  <c r="BD574" i="1" s="1"/>
  <c r="BC573" i="1"/>
  <c r="BC574" i="1" s="1"/>
  <c r="BB573" i="1"/>
  <c r="AZ573" i="1"/>
  <c r="AY573" i="1"/>
  <c r="AX573" i="1"/>
  <c r="AX574" i="1" s="1"/>
  <c r="AW573" i="1"/>
  <c r="AW574" i="1" s="1"/>
  <c r="AU573" i="1"/>
  <c r="AU574" i="1" s="1"/>
  <c r="AT573" i="1"/>
  <c r="AS573" i="1"/>
  <c r="AS574" i="1" s="1"/>
  <c r="AQ573" i="1"/>
  <c r="AP573" i="1"/>
  <c r="AP574" i="1" s="1"/>
  <c r="AO573" i="1"/>
  <c r="AO574" i="1" s="1"/>
  <c r="AN573" i="1"/>
  <c r="AN574" i="1" s="1"/>
  <c r="AM573" i="1"/>
  <c r="AM574" i="1" s="1"/>
  <c r="AL573" i="1"/>
  <c r="AL574" i="1" s="1"/>
  <c r="AK573" i="1"/>
  <c r="AK574" i="1" s="1"/>
  <c r="AJ573" i="1"/>
  <c r="AH573" i="1"/>
  <c r="AG573" i="1"/>
  <c r="AG574" i="1" s="1"/>
  <c r="AF573" i="1"/>
  <c r="AF574" i="1" s="1"/>
  <c r="AD573" i="1"/>
  <c r="AB573" i="1"/>
  <c r="Z573" i="1"/>
  <c r="Z574" i="1" s="1"/>
  <c r="Y573" i="1"/>
  <c r="Y574" i="1" s="1"/>
  <c r="X573" i="1"/>
  <c r="X574" i="1" s="1"/>
  <c r="W573" i="1"/>
  <c r="W574" i="1" s="1"/>
  <c r="V573" i="1"/>
  <c r="U573" i="1"/>
  <c r="U574" i="1" s="1"/>
  <c r="T573" i="1"/>
  <c r="S573" i="1"/>
  <c r="R573" i="1"/>
  <c r="Q573" i="1"/>
  <c r="Q574" i="1" s="1"/>
  <c r="P573" i="1"/>
  <c r="P574" i="1" s="1"/>
  <c r="O573" i="1"/>
  <c r="O574" i="1" s="1"/>
  <c r="N573" i="1"/>
  <c r="M573" i="1"/>
  <c r="M574" i="1" s="1"/>
  <c r="L573" i="1"/>
  <c r="K573" i="1"/>
  <c r="J573" i="1"/>
  <c r="I573" i="1"/>
  <c r="I574" i="1" s="1"/>
  <c r="H573" i="1"/>
  <c r="H574" i="1" s="1"/>
  <c r="D574" i="1"/>
  <c r="D573" i="1"/>
  <c r="BW565" i="1"/>
  <c r="BN565" i="1" s="1"/>
  <c r="BP565" i="1"/>
  <c r="BR565" i="1" s="1"/>
  <c r="BE565" i="1"/>
  <c r="BA565" i="1"/>
  <c r="BK565" i="1" s="1"/>
  <c r="AX565" i="1"/>
  <c r="AL565" i="1"/>
  <c r="AR565" i="1" s="1"/>
  <c r="AR573" i="1" s="1"/>
  <c r="AR574" i="1" s="1"/>
  <c r="AG565" i="1"/>
  <c r="AI565" i="1" s="1"/>
  <c r="AI573" i="1" s="1"/>
  <c r="AI574" i="1" s="1"/>
  <c r="AA565" i="1"/>
  <c r="AC565" i="1" s="1"/>
  <c r="AC573" i="1" s="1"/>
  <c r="AC574" i="1" s="1"/>
  <c r="Z565" i="1"/>
  <c r="V565" i="1"/>
  <c r="Q565" i="1"/>
  <c r="N565" i="1"/>
  <c r="J565" i="1"/>
  <c r="H565" i="1"/>
  <c r="O565" i="1" s="1"/>
  <c r="I20" i="3"/>
  <c r="U520" i="3"/>
  <c r="U521" i="3" s="1"/>
  <c r="U522" i="3" s="1"/>
  <c r="U523" i="3" s="1"/>
  <c r="U524" i="3" s="1"/>
  <c r="U525" i="3" s="1"/>
  <c r="U526" i="3" s="1"/>
  <c r="B565" i="1"/>
  <c r="B566" i="1" s="1"/>
  <c r="B567" i="1" s="1"/>
  <c r="B568" i="1" s="1"/>
  <c r="B569" i="1" s="1"/>
  <c r="B570" i="1" s="1"/>
  <c r="BA573" i="1" l="1"/>
  <c r="BA574" i="1" s="1"/>
  <c r="BM565" i="1"/>
  <c r="BM573" i="1" s="1"/>
  <c r="BM574" i="1" s="1"/>
  <c r="AA573" i="1"/>
  <c r="AA574" i="1" s="1"/>
  <c r="AV565" i="1"/>
  <c r="AV573" i="1" s="1"/>
  <c r="AV574" i="1" s="1"/>
  <c r="AE565" i="1"/>
  <c r="AE573" i="1" s="1"/>
  <c r="AE574" i="1" s="1"/>
  <c r="BG565" i="1"/>
  <c r="BG573" i="1" s="1"/>
  <c r="BG574" i="1" s="1"/>
  <c r="S565" i="1"/>
  <c r="AH565" i="1" l="1"/>
  <c r="BE564" i="1"/>
  <c r="BA564" i="1"/>
  <c r="AL564" i="1"/>
  <c r="AR564" i="1" s="1"/>
  <c r="AG564" i="1"/>
  <c r="Z564" i="1"/>
  <c r="Q564" i="1"/>
  <c r="N564" i="1"/>
  <c r="BE563" i="1"/>
  <c r="BA563" i="1"/>
  <c r="AL563" i="1"/>
  <c r="AR563" i="1" s="1"/>
  <c r="AG563" i="1"/>
  <c r="Z563" i="1"/>
  <c r="Q563" i="1"/>
  <c r="N563" i="1"/>
  <c r="BE562" i="1"/>
  <c r="BA562" i="1"/>
  <c r="AL562" i="1"/>
  <c r="AR562" i="1" s="1"/>
  <c r="AG562" i="1"/>
  <c r="Z562" i="1"/>
  <c r="Q562" i="1"/>
  <c r="N562" i="1"/>
  <c r="AA516" i="3"/>
  <c r="BG564" i="1" l="1"/>
  <c r="BG563" i="1"/>
  <c r="BG562" i="1"/>
  <c r="BE561" i="1" l="1"/>
  <c r="BA561" i="1"/>
  <c r="AL561" i="1"/>
  <c r="AR561" i="1" s="1"/>
  <c r="AG561" i="1"/>
  <c r="Z561" i="1"/>
  <c r="Q561" i="1"/>
  <c r="N561" i="1"/>
  <c r="BE560" i="1"/>
  <c r="BA560" i="1"/>
  <c r="AL560" i="1"/>
  <c r="AR560" i="1" s="1"/>
  <c r="AG560" i="1"/>
  <c r="Z560" i="1"/>
  <c r="Q560" i="1"/>
  <c r="N560" i="1"/>
  <c r="BE559" i="1"/>
  <c r="BA559" i="1"/>
  <c r="AL559" i="1"/>
  <c r="AR559" i="1" s="1"/>
  <c r="AG559" i="1"/>
  <c r="Z559" i="1"/>
  <c r="Q559" i="1"/>
  <c r="N559" i="1"/>
  <c r="S565" i="2"/>
  <c r="W565" i="2"/>
  <c r="K565" i="2"/>
  <c r="M565" i="2" s="1"/>
  <c r="S564" i="2"/>
  <c r="W564" i="2"/>
  <c r="Q564" i="2"/>
  <c r="K564" i="2"/>
  <c r="M564" i="2" s="1"/>
  <c r="S563" i="2"/>
  <c r="K563" i="2"/>
  <c r="Q563" i="2" s="1"/>
  <c r="W563" i="2"/>
  <c r="S562" i="2"/>
  <c r="W562" i="2"/>
  <c r="K562" i="2"/>
  <c r="Q562" i="2" s="1"/>
  <c r="S561" i="2"/>
  <c r="W561" i="2"/>
  <c r="Q561" i="2"/>
  <c r="K561" i="2"/>
  <c r="M561" i="2" s="1"/>
  <c r="S560" i="2"/>
  <c r="W560" i="2"/>
  <c r="K560" i="2"/>
  <c r="Q560" i="2" s="1"/>
  <c r="C560" i="2"/>
  <c r="C561" i="2" s="1"/>
  <c r="C562" i="2" s="1"/>
  <c r="C563" i="2" s="1"/>
  <c r="C564" i="2" s="1"/>
  <c r="C565" i="2" s="1"/>
  <c r="C566" i="2" s="1"/>
  <c r="BG561" i="1" l="1"/>
  <c r="BG560" i="1"/>
  <c r="BG559" i="1"/>
  <c r="Q565" i="2"/>
  <c r="M563" i="2"/>
  <c r="M562" i="2"/>
  <c r="M560" i="2"/>
  <c r="BA665" i="1" l="1"/>
  <c r="BE558" i="1"/>
  <c r="BA558" i="1"/>
  <c r="AL558" i="1"/>
  <c r="AR558" i="1" s="1"/>
  <c r="AG558" i="1"/>
  <c r="Z558" i="1"/>
  <c r="Q558" i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BK561" i="1" s="1"/>
  <c r="BM561" i="1" s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Q556" i="2" s="1"/>
  <c r="S555" i="2"/>
  <c r="K555" i="2"/>
  <c r="S554" i="2"/>
  <c r="K554" i="2"/>
  <c r="S553" i="2"/>
  <c r="K553" i="2"/>
  <c r="BK558" i="1" l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M558" i="1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573" i="1"/>
  <c r="BQ574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U530" i="2" s="1"/>
  <c r="S529" i="2"/>
  <c r="K529" i="2"/>
  <c r="S528" i="2"/>
  <c r="S527" i="2"/>
  <c r="S526" i="2"/>
  <c r="K528" i="2"/>
  <c r="K527" i="2"/>
  <c r="K526" i="2"/>
  <c r="S525" i="2"/>
  <c r="K525" i="2"/>
  <c r="BK556" i="1" l="1"/>
  <c r="BM556" i="1" s="1"/>
  <c r="BK555" i="1"/>
  <c r="BM555" i="1" s="1"/>
  <c r="BK554" i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BM554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664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573" i="1"/>
  <c r="BU574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73" i="1"/>
  <c r="BV574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S499" i="2"/>
  <c r="K499" i="2"/>
  <c r="S498" i="2"/>
  <c r="K498" i="2"/>
  <c r="S497" i="2"/>
  <c r="K497" i="2"/>
  <c r="U500" i="2" l="1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99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47" i="3"/>
  <c r="AJ545" i="3"/>
  <c r="AJ548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63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85" i="1"/>
  <c r="D584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64" i="1"/>
  <c r="BG684" i="1"/>
  <c r="BG685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84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69" i="2"/>
  <c r="S357" i="2"/>
  <c r="AP699" i="1"/>
  <c r="BP685" i="1"/>
  <c r="BG686" i="1" s="1"/>
  <c r="BN682" i="1"/>
  <c r="BP682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63" i="1"/>
  <c r="BP663" i="1" s="1"/>
  <c r="BP665" i="1"/>
  <c r="BP666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86" i="1"/>
  <c r="BG687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83" i="1"/>
  <c r="BP683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687" i="1" l="1"/>
  <c r="Q358" i="2"/>
  <c r="M357" i="2"/>
  <c r="U357" i="2"/>
  <c r="M358" i="2"/>
  <c r="CL693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Y687" i="1" l="1"/>
  <c r="BA667" i="1" s="1"/>
  <c r="BG691" i="1"/>
  <c r="BP690" i="1"/>
  <c r="BP692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58" i="1"/>
  <c r="N660" i="1" s="1"/>
  <c r="N661" i="1" l="1"/>
  <c r="D661" i="1" s="1"/>
  <c r="N662" i="1"/>
  <c r="N663" i="1"/>
  <c r="D662" i="1" l="1"/>
  <c r="D663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49" i="1"/>
  <c r="BG649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94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79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73" i="1"/>
  <c r="G574" i="1" s="1"/>
  <c r="F573" i="1"/>
  <c r="F574" i="1" s="1"/>
  <c r="E573" i="1"/>
  <c r="E574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97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94" i="1" l="1"/>
  <c r="AR593" i="1"/>
  <c r="AP593" i="1"/>
  <c r="AR592" i="1"/>
  <c r="AP592" i="1"/>
  <c r="AV592" i="1" l="1"/>
  <c r="AV593" i="1"/>
  <c r="AV594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638" i="1"/>
  <c r="N214" i="1"/>
  <c r="N204" i="1"/>
  <c r="BA637" i="1" s="1"/>
  <c r="N174" i="1"/>
  <c r="BA636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637" i="1" l="1"/>
  <c r="BE637" i="1" s="1"/>
  <c r="Q218" i="2"/>
  <c r="BC638" i="1"/>
  <c r="BE638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606" i="1"/>
  <c r="H606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625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78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76" i="1"/>
  <c r="BK579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626" i="1"/>
  <c r="AP627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621" i="1"/>
  <c r="H622" i="1"/>
  <c r="J622" i="1" s="1"/>
  <c r="H623" i="1"/>
  <c r="J623" i="1" s="1"/>
  <c r="S154" i="2"/>
  <c r="M156" i="2" l="1"/>
  <c r="Q156" i="2"/>
  <c r="O623" i="1"/>
  <c r="AI154" i="1"/>
  <c r="AI161" i="1"/>
  <c r="BK160" i="1"/>
  <c r="BM160" i="1" s="1"/>
  <c r="AR154" i="1"/>
  <c r="BG154" i="1"/>
  <c r="U155" i="2"/>
  <c r="J621" i="1"/>
  <c r="J628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624" i="1"/>
  <c r="AA623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62" i="3"/>
  <c r="F563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99" i="1" l="1"/>
  <c r="AR591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98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603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90" i="1" s="1"/>
  <c r="AH113" i="1"/>
  <c r="AP590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90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610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597" i="1"/>
  <c r="AP591" i="1" s="1"/>
  <c r="AV591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635" i="1"/>
  <c r="BC636" i="1" s="1"/>
  <c r="BE636" i="1" s="1"/>
  <c r="BE647" i="1"/>
  <c r="BE651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638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Q116" i="2"/>
  <c r="M116" i="2"/>
  <c r="U115" i="2"/>
  <c r="BG114" i="1"/>
  <c r="BE113" i="1" l="1"/>
  <c r="BA113" i="1"/>
  <c r="BA647" i="1" s="1"/>
  <c r="AL113" i="1"/>
  <c r="K114" i="2"/>
  <c r="BA651" i="1" l="1"/>
  <c r="BC649" i="1"/>
  <c r="BG647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544" i="3"/>
  <c r="AA543" i="3"/>
  <c r="AA542" i="3"/>
  <c r="AA541" i="3"/>
  <c r="AA540" i="3"/>
  <c r="AA539" i="3"/>
  <c r="AA538" i="3"/>
  <c r="AA537" i="3"/>
  <c r="AA536" i="3"/>
  <c r="AA535" i="3"/>
  <c r="Y545" i="3"/>
  <c r="W545" i="3"/>
  <c r="S107" i="2"/>
  <c r="AA545" i="3" l="1"/>
  <c r="AA548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45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56" i="3"/>
  <c r="F559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89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89" i="1"/>
  <c r="AV589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46" i="3" l="1"/>
  <c r="I543" i="3"/>
  <c r="L543" i="3" s="1"/>
  <c r="I78" i="3"/>
  <c r="I80" i="3" s="1"/>
  <c r="I77" i="3"/>
  <c r="BE64" i="1"/>
  <c r="BA64" i="1"/>
  <c r="AL64" i="1"/>
  <c r="AR64" i="1" s="1"/>
  <c r="K65" i="2"/>
  <c r="Y19" i="3"/>
  <c r="Q66" i="2" l="1"/>
  <c r="M66" i="2"/>
  <c r="L546" i="3"/>
  <c r="I79" i="3"/>
  <c r="I81" i="3" s="1"/>
  <c r="I82" i="3" s="1"/>
  <c r="BG64" i="1"/>
  <c r="U65" i="2"/>
  <c r="S64" i="2"/>
  <c r="N81" i="3" l="1"/>
  <c r="N82" i="3" s="1"/>
  <c r="I545" i="3"/>
  <c r="L545" i="3" s="1"/>
  <c r="K64" i="2"/>
  <c r="BE63" i="1"/>
  <c r="BA63" i="1"/>
  <c r="AL63" i="1"/>
  <c r="AR63" i="1" s="1"/>
  <c r="Y18" i="3"/>
  <c r="Q65" i="2" l="1"/>
  <c r="M65" i="2"/>
  <c r="I547" i="3"/>
  <c r="U64" i="2"/>
  <c r="BG63" i="1"/>
  <c r="L536" i="3" l="1"/>
  <c r="L547" i="3"/>
  <c r="L535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8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634" i="1"/>
  <c r="B637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88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96" i="1"/>
  <c r="AR598" i="1" s="1"/>
  <c r="AV598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88" i="1"/>
  <c r="AV588" i="1" s="1"/>
  <c r="BA594" i="1" s="1"/>
  <c r="BA595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67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C567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U489" i="3" l="1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U494" i="3" l="1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U498" i="3" l="1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U502" i="3" l="1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U506" i="3" l="1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U509" i="3" l="1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U516" i="3" l="1"/>
  <c r="U517" i="3" s="1"/>
  <c r="U518" i="3" s="1"/>
  <c r="U519" i="3" s="1"/>
  <c r="U527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571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47" i="3"/>
  <c r="Y548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47" i="3"/>
  <c r="W548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607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60" i="1" s="1"/>
  <c r="O173" i="1"/>
  <c r="AV173" i="1"/>
  <c r="AC173" i="1"/>
  <c r="BE660" i="1" l="1"/>
  <c r="BA682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82" i="1" l="1"/>
  <c r="BP660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82" i="1" l="1"/>
  <c r="CA682" i="1" s="1"/>
  <c r="BC682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73" i="1" s="1"/>
  <c r="BA661" i="1" s="1"/>
  <c r="J235" i="1"/>
  <c r="O234" i="1"/>
  <c r="AC234" i="1"/>
  <c r="BE661" i="1" l="1"/>
  <c r="BA683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61" i="1" l="1"/>
  <c r="BE683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83" i="1" l="1"/>
  <c r="BC683" i="1"/>
  <c r="BC687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87" i="1"/>
  <c r="AV269" i="1"/>
  <c r="H588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75" i="1"/>
  <c r="BA662" i="1" s="1"/>
  <c r="BA666" i="1" s="1"/>
  <c r="BR670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68" i="1"/>
  <c r="AA403" i="1"/>
  <c r="AA404" i="1" s="1"/>
  <c r="AE402" i="1"/>
  <c r="BE662" i="1"/>
  <c r="BA684" i="1"/>
  <c r="BA685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69" i="1"/>
  <c r="AA405" i="1"/>
  <c r="AE404" i="1"/>
  <c r="AE403" i="1"/>
  <c r="BE666" i="1"/>
  <c r="BE684" i="1"/>
  <c r="BP662" i="1"/>
  <c r="AC329" i="1"/>
  <c r="J330" i="1"/>
  <c r="H330" i="1"/>
  <c r="AV329" i="1"/>
  <c r="O329" i="1"/>
  <c r="BE686" i="1" l="1"/>
  <c r="BA687" i="1"/>
  <c r="BE687" i="1" s="1"/>
  <c r="BR687" i="1" s="1"/>
  <c r="CL688" i="1" s="1"/>
  <c r="BE685" i="1"/>
  <c r="BC684" i="1"/>
  <c r="AX439" i="1"/>
  <c r="BW440" i="1"/>
  <c r="BW441" i="1" s="1"/>
  <c r="BN439" i="1"/>
  <c r="BR424" i="1"/>
  <c r="BP425" i="1"/>
  <c r="BP426" i="1" s="1"/>
  <c r="AE405" i="1"/>
  <c r="AA406" i="1"/>
  <c r="AA407" i="1" s="1"/>
  <c r="BR684" i="1"/>
  <c r="D666" i="1"/>
  <c r="BG666" i="1"/>
  <c r="AC330" i="1"/>
  <c r="J331" i="1"/>
  <c r="H331" i="1"/>
  <c r="O330" i="1"/>
  <c r="AV330" i="1"/>
  <c r="AA285" i="3"/>
  <c r="AA286" i="3"/>
  <c r="AA283" i="3"/>
  <c r="AA284" i="3"/>
  <c r="AA282" i="3"/>
  <c r="AH564" i="1" l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685" i="1"/>
  <c r="BC685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66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7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N563" i="1"/>
  <c r="BR548" i="1"/>
  <c r="BP549" i="1"/>
  <c r="AE531" i="1"/>
  <c r="AA532" i="1"/>
  <c r="AE530" i="1"/>
  <c r="AV427" i="1"/>
  <c r="J428" i="1"/>
  <c r="H428" i="1"/>
  <c r="O427" i="1"/>
  <c r="AC427" i="1"/>
  <c r="BN564" i="1" l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R550" i="1" l="1"/>
  <c r="BP551" i="1"/>
  <c r="AA534" i="1"/>
  <c r="AA535" i="1" s="1"/>
  <c r="AE533" i="1"/>
  <c r="J430" i="1"/>
  <c r="H430" i="1"/>
  <c r="AV429" i="1"/>
  <c r="O429" i="1"/>
  <c r="AC429" i="1"/>
  <c r="BP552" i="1" l="1"/>
  <c r="BR551" i="1"/>
  <c r="AE535" i="1"/>
  <c r="AA536" i="1"/>
  <c r="AE534" i="1"/>
  <c r="AV430" i="1"/>
  <c r="O430" i="1"/>
  <c r="J431" i="1"/>
  <c r="H431" i="1"/>
  <c r="AC430" i="1"/>
  <c r="BR552" i="1" l="1"/>
  <c r="BP553" i="1"/>
  <c r="AE536" i="1"/>
  <c r="AA537" i="1"/>
  <c r="AV431" i="1"/>
  <c r="J432" i="1"/>
  <c r="H432" i="1"/>
  <c r="O431" i="1"/>
  <c r="AC431" i="1"/>
  <c r="BR553" i="1" l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BR555" i="1" l="1"/>
  <c r="BP556" i="1"/>
  <c r="BR554" i="1"/>
  <c r="AE538" i="1"/>
  <c r="AA539" i="1"/>
  <c r="AA540" i="1" s="1"/>
  <c r="J434" i="1"/>
  <c r="H434" i="1"/>
  <c r="AV433" i="1"/>
  <c r="O433" i="1"/>
  <c r="AC433" i="1"/>
  <c r="BP557" i="1" l="1"/>
  <c r="BR556" i="1"/>
  <c r="AE540" i="1"/>
  <c r="AA541" i="1"/>
  <c r="AE539" i="1"/>
  <c r="AV434" i="1"/>
  <c r="H435" i="1"/>
  <c r="J435" i="1"/>
  <c r="O434" i="1"/>
  <c r="AC434" i="1"/>
  <c r="BR557" i="1" l="1"/>
  <c r="BP558" i="1"/>
  <c r="AE541" i="1"/>
  <c r="AA542" i="1"/>
  <c r="AV435" i="1"/>
  <c r="O435" i="1"/>
  <c r="J436" i="1"/>
  <c r="H436" i="1"/>
  <c r="AC435" i="1"/>
  <c r="BR558" i="1" l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BR559" i="1" l="1"/>
  <c r="BP560" i="1"/>
  <c r="AA544" i="1"/>
  <c r="AA545" i="1" s="1"/>
  <c r="AE543" i="1"/>
  <c r="J438" i="1"/>
  <c r="H438" i="1"/>
  <c r="AV437" i="1"/>
  <c r="O437" i="1"/>
  <c r="AC437" i="1"/>
  <c r="BP561" i="1" l="1"/>
  <c r="BR560" i="1"/>
  <c r="AE545" i="1"/>
  <c r="AA546" i="1"/>
  <c r="AE544" i="1"/>
  <c r="AV438" i="1"/>
  <c r="O438" i="1"/>
  <c r="J439" i="1"/>
  <c r="H439" i="1"/>
  <c r="AC438" i="1"/>
  <c r="BR561" i="1" l="1"/>
  <c r="BP562" i="1"/>
  <c r="AA547" i="1"/>
  <c r="AE546" i="1"/>
  <c r="AV439" i="1"/>
  <c r="J440" i="1"/>
  <c r="H440" i="1"/>
  <c r="O439" i="1"/>
  <c r="AC439" i="1"/>
  <c r="AA395" i="3"/>
  <c r="AA392" i="3"/>
  <c r="BR562" i="1" l="1"/>
  <c r="BP563" i="1"/>
  <c r="AA548" i="1"/>
  <c r="AA549" i="1" s="1"/>
  <c r="AE547" i="1"/>
  <c r="J441" i="1"/>
  <c r="H441" i="1"/>
  <c r="AV440" i="1"/>
  <c r="O440" i="1"/>
  <c r="AC440" i="1"/>
  <c r="AA393" i="3"/>
  <c r="AA394" i="3"/>
  <c r="BR563" i="1" l="1"/>
  <c r="BP564" i="1"/>
  <c r="AA550" i="1"/>
  <c r="AE549" i="1"/>
  <c r="AE548" i="1"/>
  <c r="AV441" i="1"/>
  <c r="J442" i="1"/>
  <c r="H442" i="1"/>
  <c r="O441" i="1"/>
  <c r="AC441" i="1"/>
  <c r="BR564" i="1" l="1"/>
  <c r="AE550" i="1"/>
  <c r="AA551" i="1"/>
  <c r="AV442" i="1"/>
  <c r="J443" i="1"/>
  <c r="H443" i="1"/>
  <c r="O442" i="1"/>
  <c r="AC442" i="1"/>
  <c r="AE551" i="1" l="1"/>
  <c r="AA552" i="1"/>
  <c r="AV443" i="1"/>
  <c r="J444" i="1"/>
  <c r="H444" i="1"/>
  <c r="O443" i="1"/>
  <c r="AC443" i="1"/>
  <c r="AA399" i="3"/>
  <c r="AA397" i="3"/>
  <c r="AA398" i="3"/>
  <c r="AA396" i="3"/>
  <c r="AE552" i="1" l="1"/>
  <c r="AA553" i="1"/>
  <c r="H445" i="1"/>
  <c r="J445" i="1"/>
  <c r="AV444" i="1"/>
  <c r="O444" i="1"/>
  <c r="AC444" i="1"/>
  <c r="AE553" i="1" l="1"/>
  <c r="AA554" i="1"/>
  <c r="AA555" i="1" s="1"/>
  <c r="AV445" i="1"/>
  <c r="J446" i="1"/>
  <c r="H446" i="1"/>
  <c r="O445" i="1"/>
  <c r="AC445" i="1"/>
  <c r="AA556" i="1" l="1"/>
  <c r="AE555" i="1"/>
  <c r="AE554" i="1"/>
  <c r="AV446" i="1"/>
  <c r="J447" i="1"/>
  <c r="H447" i="1"/>
  <c r="O446" i="1"/>
  <c r="AC446" i="1"/>
  <c r="AE556" i="1" l="1"/>
  <c r="AA557" i="1"/>
  <c r="J448" i="1"/>
  <c r="H448" i="1"/>
  <c r="AV447" i="1"/>
  <c r="O447" i="1"/>
  <c r="AC447" i="1"/>
  <c r="AA401" i="3"/>
  <c r="AA402" i="3"/>
  <c r="AA400" i="3"/>
  <c r="AE557" i="1" l="1"/>
  <c r="AA558" i="1"/>
  <c r="O448" i="1"/>
  <c r="J449" i="1"/>
  <c r="H449" i="1"/>
  <c r="AV448" i="1"/>
  <c r="AC448" i="1"/>
  <c r="AA559" i="1" l="1"/>
  <c r="AA560" i="1" s="1"/>
  <c r="AE558" i="1"/>
  <c r="AV449" i="1"/>
  <c r="J450" i="1"/>
  <c r="H450" i="1"/>
  <c r="O449" i="1"/>
  <c r="AC449" i="1"/>
  <c r="AA561" i="1" l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AE561" i="1" l="1"/>
  <c r="AA562" i="1"/>
  <c r="AV451" i="1"/>
  <c r="J452" i="1"/>
  <c r="H452" i="1"/>
  <c r="O451" i="1"/>
  <c r="AC451" i="1"/>
  <c r="AE562" i="1" l="1"/>
  <c r="AA563" i="1"/>
  <c r="J453" i="1"/>
  <c r="H453" i="1"/>
  <c r="AV452" i="1"/>
  <c r="O452" i="1"/>
  <c r="AC452" i="1"/>
  <c r="AE563" i="1" l="1"/>
  <c r="AA564" i="1"/>
  <c r="AV453" i="1"/>
  <c r="H454" i="1"/>
  <c r="J454" i="1"/>
  <c r="O453" i="1"/>
  <c r="AC453" i="1"/>
  <c r="AE564" i="1" l="1"/>
  <c r="AV454" i="1"/>
  <c r="J455" i="1"/>
  <c r="H455" i="1"/>
  <c r="O454" i="1"/>
  <c r="AC454" i="1"/>
  <c r="AJ21" i="2" l="1"/>
  <c r="AD49" i="2"/>
  <c r="AD51" i="2" s="1"/>
  <c r="AD53" i="2" s="1"/>
  <c r="AD55" i="2" s="1"/>
  <c r="AD57" i="2" s="1"/>
  <c r="I21" i="3"/>
  <c r="I35" i="3" s="1"/>
  <c r="AV455" i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686" i="1"/>
  <c r="CL702" i="1" s="1"/>
  <c r="CL704" i="1" s="1"/>
  <c r="AV513" i="1" l="1"/>
  <c r="J514" i="1"/>
  <c r="H514" i="1"/>
  <c r="O513" i="1"/>
  <c r="AC513" i="1"/>
  <c r="BA690" i="1"/>
  <c r="BC690" i="1" s="1"/>
  <c r="CL690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I23" i="3" s="1"/>
  <c r="I25" i="3" s="1"/>
  <c r="I27" i="3" s="1"/>
  <c r="O555" i="1"/>
  <c r="AC555" i="1"/>
  <c r="I34" i="3" l="1"/>
  <c r="N27" i="3"/>
  <c r="N28" i="3" s="1"/>
  <c r="O556" i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AV564" i="1" l="1"/>
  <c r="O564" i="1"/>
  <c r="AC564" i="1"/>
  <c r="AF21" i="2" l="1"/>
  <c r="I32" i="3"/>
  <c r="L32" i="3" l="1"/>
  <c r="L35" i="3"/>
  <c r="I36" i="3"/>
  <c r="W520" i="3" s="1"/>
  <c r="AA520" i="3" s="1"/>
  <c r="I28" i="3"/>
  <c r="L34" i="3"/>
  <c r="AA519" i="3" l="1"/>
  <c r="L36" i="3"/>
  <c r="Y12" i="3" l="1"/>
  <c r="Y214" i="3"/>
  <c r="Y350" i="3"/>
  <c r="Y121" i="3"/>
  <c r="Y244" i="3"/>
</calcChain>
</file>

<file path=xl/sharedStrings.xml><?xml version="1.0" encoding="utf-8"?>
<sst xmlns="http://schemas.openxmlformats.org/spreadsheetml/2006/main" count="376" uniqueCount="190">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</sst>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Table'!$BA$677:$BA$681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Table'!$BA$682:$BA$687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18609220.481801804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Table'!$BC$677:$BC$681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Table'!$BC$682:$BC$687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40236359.312252253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Table'!$BJ$677:$BJ$681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Table'!$BJ$682:$BJ$686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Table'!$BK$677:$BK$681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Table'!$BK$682:$BK$686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Table'!$BL$677:$BL$681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Table'!$BL$682:$BL$686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Table'!$BM$677:$BM$681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Table'!$BM$682:$BM$686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Table'!$BP$677:$BP$681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Table'!$AS$682:$AT$687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Table'!$BP$682:$BP$687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181380000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Table'!$AU$677:$AU$681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Table'!$AU$682:$AU$687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Table'!$AV$677:$AV$681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Table'!$AV$682:$AV$686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Table'!$AW$677:$AW$681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Table'!$AW$682:$AW$686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Table'!$AX$677:$AX$681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Table'!$AX$682:$AX$686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Table'!$AY$677:$AY$681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Table'!$AY$682:$AY$686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Table'!$AZ$677:$AZ$681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Table'!$AZ$682:$AZ$686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Table'!$BB$677:$BB$681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Table'!$BB$682:$BB$686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Table'!$BD$677:$BD$681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Table'!$BD$682:$BD$686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Table'!$BE$677:$BE$681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Table'!$BE$682:$BE$686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Table'!$BF$677:$BF$681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Table'!$BF$682:$BF$686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Table'!$BG$677:$BG$681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Table'!$BG$682:$BG$686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Table'!$BH$677:$BH$681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Table'!$BH$682:$BH$686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Table'!$BI$677:$BI$681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Table'!$BI$682:$BI$686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Table'!$BN$677:$BN$681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Table'!$BN$682:$BN$686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Table'!$BO$677:$BO$681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Table'!$BO$682:$BO$686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Table'!$BQ$677:$BQ$681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Table'!$BQ$682:$BQ$686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Table'!$BR$677:$BR$681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Table'!$BR$682:$BR$686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Table'!$BS$677:$BS$681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Table'!$BS$682:$BS$686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Table'!$BT$677:$BT$681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Table'!$BR$682:$BR$687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240225579.79405406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Table'!$BU$677:$BU$681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Table'!$BU$682:$BU$686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Table'!$BV$677:$BV$681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Table'!$AS$682:$AT$687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Table'!$BV$682:$BV$686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586</xdr:row>
      <xdr:rowOff>99060</xdr:rowOff>
    </xdr:from>
    <xdr:to>
      <xdr:col>22</xdr:col>
      <xdr:colOff>312420</xdr:colOff>
      <xdr:row>587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586</xdr:row>
      <xdr:rowOff>129540</xdr:rowOff>
    </xdr:from>
    <xdr:to>
      <xdr:col>23</xdr:col>
      <xdr:colOff>68580</xdr:colOff>
      <xdr:row>587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604</xdr:row>
      <xdr:rowOff>125730</xdr:rowOff>
    </xdr:from>
    <xdr:to>
      <xdr:col>54</xdr:col>
      <xdr:colOff>213360</xdr:colOff>
      <xdr:row>619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694</xdr:row>
      <xdr:rowOff>91440</xdr:rowOff>
    </xdr:from>
    <xdr:to>
      <xdr:col>76</xdr:col>
      <xdr:colOff>472440</xdr:colOff>
      <xdr:row>717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18"/>
  <sheetViews>
    <sheetView topLeftCell="A550" zoomScaleNormal="100" workbookViewId="0">
      <selection activeCell="J565" sqref="J56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9.332031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2" t="s">
        <v>5</v>
      </c>
      <c r="C1" s="602"/>
      <c r="D1" s="602"/>
    </row>
    <row r="2" spans="2:90" ht="15.6" x14ac:dyDescent="0.3">
      <c r="B2" s="602" t="s">
        <v>6</v>
      </c>
      <c r="C2" s="602"/>
      <c r="D2" s="60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7" t="s">
        <v>13</v>
      </c>
      <c r="C3" s="607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3" t="s">
        <v>11</v>
      </c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11"/>
      <c r="AE4" s="282"/>
      <c r="AF4" s="404"/>
      <c r="AG4" s="404"/>
      <c r="AH4" s="404"/>
      <c r="AI4" s="404"/>
      <c r="AJ4" s="12"/>
      <c r="AL4" s="619" t="s">
        <v>14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1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08" t="s">
        <v>12</v>
      </c>
      <c r="G6" s="608"/>
      <c r="H6" s="608"/>
      <c r="I6" s="608"/>
      <c r="J6" s="608"/>
      <c r="K6" s="608"/>
      <c r="L6" s="608"/>
      <c r="M6" s="292"/>
      <c r="N6" s="499"/>
      <c r="O6" s="292"/>
      <c r="P6" s="293"/>
      <c r="Q6" s="614" t="s">
        <v>111</v>
      </c>
      <c r="R6" s="608"/>
      <c r="S6" s="608"/>
      <c r="T6" s="608"/>
      <c r="U6" s="615"/>
      <c r="V6" s="3"/>
      <c r="W6" s="8" t="s">
        <v>7</v>
      </c>
      <c r="X6" s="30"/>
      <c r="Y6" s="609">
        <v>1.2500000000000001E-2</v>
      </c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10"/>
      <c r="AK6" s="3"/>
      <c r="AL6" s="625" t="s">
        <v>25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/>
      <c r="AY6" s="627"/>
      <c r="AZ6" s="3"/>
      <c r="BA6" s="628" t="s">
        <v>7</v>
      </c>
      <c r="BB6" s="598"/>
      <c r="BC6" s="598"/>
      <c r="BD6" s="85"/>
      <c r="BE6" s="622" t="s">
        <v>24</v>
      </c>
      <c r="BF6" s="622"/>
      <c r="BG6" s="622"/>
      <c r="BH6" s="622"/>
      <c r="BI6" s="622"/>
      <c r="BJ6" s="622"/>
      <c r="BK6" s="622"/>
      <c r="BL6" s="622"/>
      <c r="BM6" s="622"/>
      <c r="BN6" s="622"/>
      <c r="BO6" s="622"/>
      <c r="BP6" s="622"/>
      <c r="BQ6" s="622"/>
      <c r="BR6" s="598"/>
      <c r="BS6" s="598"/>
      <c r="BT6" s="598"/>
      <c r="BU6" s="623"/>
      <c r="BV6" s="3"/>
    </row>
    <row r="7" spans="2:90" ht="16.2" x14ac:dyDescent="0.3">
      <c r="D7" s="605" t="s">
        <v>20</v>
      </c>
      <c r="E7" s="606"/>
      <c r="F7" s="606"/>
      <c r="G7" s="606"/>
      <c r="H7" s="606"/>
      <c r="I7" s="606"/>
      <c r="J7" s="606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1" t="s">
        <v>33</v>
      </c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3"/>
      <c r="AK7" s="3"/>
      <c r="AL7" s="605" t="s">
        <v>68</v>
      </c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6"/>
      <c r="AY7" s="624"/>
      <c r="BA7" s="605" t="s">
        <v>23</v>
      </c>
      <c r="BB7" s="606"/>
      <c r="BC7" s="606"/>
      <c r="BD7" s="606"/>
      <c r="BE7" s="606"/>
      <c r="BF7" s="606"/>
      <c r="BG7" s="606"/>
      <c r="BH7" s="606"/>
      <c r="BI7" s="606"/>
      <c r="BJ7" s="606"/>
      <c r="BK7" s="606"/>
      <c r="BL7" s="606"/>
      <c r="BM7" s="606"/>
      <c r="BN7" s="606"/>
      <c r="BO7" s="606"/>
      <c r="BP7" s="606"/>
      <c r="BQ7" s="606"/>
      <c r="BR7" s="606"/>
      <c r="BS7" s="606"/>
      <c r="BT7" s="606"/>
      <c r="BU7" s="624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17" t="s">
        <v>1</v>
      </c>
      <c r="BB8" s="618"/>
      <c r="BC8" s="618"/>
      <c r="BD8" s="63"/>
      <c r="BE8" s="618" t="s">
        <v>22</v>
      </c>
      <c r="BF8" s="618"/>
      <c r="BG8" s="618"/>
      <c r="BH8" s="618"/>
      <c r="BI8" s="629"/>
      <c r="BJ8" s="630" t="s">
        <v>111</v>
      </c>
      <c r="BK8" s="631"/>
      <c r="BL8" s="631"/>
      <c r="BM8" s="632"/>
      <c r="BN8" s="617" t="s">
        <v>22</v>
      </c>
      <c r="BO8" s="618"/>
      <c r="BP8" s="618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SUM(D102:D572)</f>
        <v>38679564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SUM(D109:D579)</f>
        <v>38511427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SUM(D116:D586)</f>
        <v>38963102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SUM(D123:D596)</f>
        <v>369568232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SUM(D124:D597)</f>
        <v>369506513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SUM(D125:D598)</f>
        <v>369448164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SUM(D126:D599)</f>
        <v>369382676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SUM(D127:D600)</f>
        <v>369316628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SUM(D128:D601)</f>
        <v>369244633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SUM(D129:D602)</f>
        <v>446171245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SUM(D130:D603)</f>
        <v>446096258.23262841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SUM(D131:D604)</f>
        <v>446032999.23262841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SUM(D132:D605)</f>
        <v>776967720.23262835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SUM(D133:D606)</f>
        <v>821258841.23262835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SUM(D134:D607)</f>
        <v>821191362.30462837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SUM(D135:D608)</f>
        <v>821119395.30462837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SUM(D136:D609)</f>
        <v>821049952.34662843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SUM(D137:D610)</f>
        <v>821972918.34662843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SUM(D138:D611)</f>
        <v>821905505.34662843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SUM(D139:D612)</f>
        <v>821849375.34662843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SUM(D140:D613)</f>
        <v>821787804.34662843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SUM(D141:D614)</f>
        <v>821723075.34662843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SUM(D142:D615)</f>
        <v>821656154.34662843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SUM(D143:D616)</f>
        <v>821587585.34662843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SUM(D144:D617)</f>
        <v>821516502.34662843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SUM(D145:D618)</f>
        <v>821457961.34662843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SUM(D146:D619)</f>
        <v>821408923.34662843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SUM(D147:D620)</f>
        <v>821360277.34662843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SUM(D148:D621)</f>
        <v>821305713.34662843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SUM(D149:D622)</f>
        <v>821250565.34662843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SUM(D150:D623)</f>
        <v>821191855.34662843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SUM(D151:D624)</f>
        <v>821128609.34662843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SUM(D152:D625)</f>
        <v>821074410.34662843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SUM(D153:D626)</f>
        <v>821026561.34662843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SUM(D154:D627)</f>
        <v>820976761.34662843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SUM(D155:D628)</f>
        <v>820922242.34662843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SUM(D156:D629)</f>
        <v>820867897.34662843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SUM(D157:D630)</f>
        <v>820812533.34662843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SUM(D158:D631)</f>
        <v>820751933.34662843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SUM(D159:D632)</f>
        <v>820698410.34662843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SUM(D160:D633)</f>
        <v>820661567.34662843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SUM(D161:D634)</f>
        <v>820620955.34662843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SUM(D162:D635)</f>
        <v>820576956.34662843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SUM(D163:D636)</f>
        <v>820531983.34662843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SUM(D164:D637)</f>
        <v>820486626.34662843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SUM(D165:D638)</f>
        <v>820436145.34662843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SUM(D166:D639)</f>
        <v>820392316.34662843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SUM(D167:D640)</f>
        <v>820359598.34662843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SUM(D168:D641)</f>
        <v>820318114.34662843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SUM(D169:D642)</f>
        <v>820278016.34662843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SUM(D170:D643)</f>
        <v>820233379.34662843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SUM(D171:D644)</f>
        <v>820187373.34662843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SUM(D172:D645)</f>
        <v>820137772.34662843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SUM(D173:D646)</f>
        <v>820095112.34662843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SUM(D174:D647)</f>
        <v>820061131.34662843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SUM(D175:D648)</f>
        <v>820022571.34662843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SUM(D176:D649)</f>
        <v>819980592.34662843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SUM(D177:D650)</f>
        <v>819939381.34662843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SUM(D178:D651)</f>
        <v>819893917.34662843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SUM(D179:D652)</f>
        <v>819841068.34662843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SUM(D180:D653)</f>
        <v>819798976.34662843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SUM(D181:D654)</f>
        <v>819767866.34662843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SUM(D182:D658)</f>
        <v>819742446.34662843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SUM(D183:D659)</f>
        <v>819714007.34662843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SUM(D184:D660)</f>
        <v>819678764.34662843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SUM(D185:D661)</f>
        <v>853354239.06091416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SUM(D186:D662)</f>
        <v>904164781.91805696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SUM(D187:D663)</f>
        <v>972696928.4894855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SUM(D188:D665)</f>
        <v>972665071.4894855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SUM(D189:D666)</f>
        <v>1150212275.060914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SUM(D190:D670)</f>
        <v>1150175828.060914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SUM(D191:D671)</f>
        <v>1150135674.060914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SUM(D192:D672)</f>
        <v>1150089379.060914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SUM(D193:D673)</f>
        <v>1150038034.060914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SUM(D194:D674)</f>
        <v>1149994421.060914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SUM(D195:D675)</f>
        <v>1149961035.060914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SUM(D196:D681)</f>
        <v>1149924231.060914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SUM(D197:D682)</f>
        <v>1149888535.060914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SUM(D198:D683)</f>
        <v>1149846919.060914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SUM(D199:D684)</f>
        <v>1149801564.060914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SUM(D200:D686)</f>
        <v>1149747935.060914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SUM(D201:D688)</f>
        <v>1149704729.060914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SUM(D202:D689)</f>
        <v>1149670947.060914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SUM(D203:D690)</f>
        <v>1149633529.060914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SUM(D204:D691)</f>
        <v>1149589302.060914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SUM(D205:D692)</f>
        <v>1149548373.060914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SUM(D206:D693)</f>
        <v>1149500984.060914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SUM(D207:D694)</f>
        <v>1149449581.060914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SUM(D208:D695)</f>
        <v>1149400656.060914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SUM(D209:D696)</f>
        <v>1149366590.060914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SUM(D210:D697)</f>
        <v>1149328873.060914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SUM(D211:D698)</f>
        <v>1149284205.060914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SUM(D212:D699)</f>
        <v>1149234847.060914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SUM(D213:D700)</f>
        <v>1149177529.060914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SUM(D214:D701)</f>
        <v>1149116546.060914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SUM(D215:D702)</f>
        <v>1149062311.060914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SUM(D216:D703)</f>
        <v>1149020376.060914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SUM(D217:D704)</f>
        <v>1148974585.060914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SUM(D218:D705)</f>
        <v>1148923051.060914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SUM(D219:D706)</f>
        <v>1148863358.060914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SUM(D220:D707)</f>
        <v>1148797229.060914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SUM(D221:D708)</f>
        <v>1148725542.060914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SUM(D222:D709)</f>
        <v>1148671310.060914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SUM(D223:D710)</f>
        <v>1148626369.060914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SUM(D224:D711)</f>
        <v>1148569042.060914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SUM(D225:D712)</f>
        <v>1148506970.060914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SUM(D226:D713)</f>
        <v>1148443307.060914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SUM(D227:D714)</f>
        <v>1148369006.060914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SUM(D228:D715)</f>
        <v>1148287592.060914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SUM(D229:D716)</f>
        <v>1148208143.060914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SUM(D230:D717)</f>
        <v>1148147254.060914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SUM(D231:D718)</f>
        <v>1148077413.060914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SUM(D232:D719)</f>
        <v>1148002341.060914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SUM(D233:D720)</f>
        <v>1147920760.060914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SUM(D234:D721)</f>
        <v>1147829230.060914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SUM(D235:D722)</f>
        <v>1147727769.060914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SUM(D236:D723)</f>
        <v>1147641476.060914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SUM(D237:D724)</f>
        <v>1147570155.060914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SUM(D238:D725)</f>
        <v>1147481250.060914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SUM(D239:D726)</f>
        <v>1147386783.060914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SUM(D240:D727)</f>
        <v>1147278394.060914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SUM(D241:D728)</f>
        <v>1147160075.060914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SUM(D242:D729)</f>
        <v>1147027534.060914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SUM(D243:D730)</f>
        <v>1146903144.060914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SUM(D244:D731)</f>
        <v>1146800418.060914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SUM(D245:D732)</f>
        <v>1146674729.060914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SUM(D246:D733)</f>
        <v>1146539076.060914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SUM(D247:D734)</f>
        <v>1146396170.060914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SUM(D248:D735)</f>
        <v>1146234629.060914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SUM(D249:D736)</f>
        <v>1146051102.060914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SUM(D250:D737)</f>
        <v>1145893849.060914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SUM(D251:D738)</f>
        <v>1145755600.060914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SUM(D252:D739)</f>
        <v>1145593451.060914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SUM(D253:D740)</f>
        <v>1145436190.060914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SUM(D254:D741)</f>
        <v>1145262422.060914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SUM(D255:D742)</f>
        <v>1145070236.060914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SUM(D256:D743)</f>
        <v>1144866057.060914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SUM(D257:D744)</f>
        <v>1144693218.060914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SUM(D258:D745)</f>
        <v>1144556591.060914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SUM(D259:D746)</f>
        <v>1144384291.060914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SUM(D260:D747)</f>
        <v>1144207209.060914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SUM(D261:D748)</f>
        <v>1144026306.060914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SUM(D262:D749)</f>
        <v>1143918243.060914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SUM(D263:D750)</f>
        <v>1143754231.060914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SUM(D264:D751)</f>
        <v>1143610858.060914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SUM(D265:D752)</f>
        <v>1143472670.060914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SUM(D266:D753)</f>
        <v>1143311102.060914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SUM(D267:D754)</f>
        <v>1143128826.060914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SUM(D268:D755)</f>
        <v>1142925089.060914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SUM(D269:D756)</f>
        <v>1142706513.060914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SUM(D270:D757)</f>
        <v>1142471241.060914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SUM(D271:D758)</f>
        <v>1142258758.060914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SUM(D272:D759)</f>
        <v>1142075979.060914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SUM(D273:D760)</f>
        <v>1141875894.060914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SUM(D274:D761)</f>
        <v>1141666138.060914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SUM(D275:D762)</f>
        <v>1141439185.060914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SUM(D276:D763)</f>
        <v>1141211871.060914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SUM(D277:D764)</f>
        <v>1140965110.060914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SUM(D278:D765)</f>
        <v>1140744812.060914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SUM(D279:D766)</f>
        <v>1140556911.060914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SUM(D280:D767)</f>
        <v>1140357179.060914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SUM(D281:D768)</f>
        <v>1140157144.060914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SUM(D282:D769)</f>
        <v>1139906971.060914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SUM(D283:D770)</f>
        <v>1139669099.060914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SUM(D284:D771)</f>
        <v>1139414419.060914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SUM(D285:D772)</f>
        <v>1139224769.060914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SUM(D286:D773)</f>
        <v>1139036489.060914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SUM(D287:D774)</f>
        <v>1138836380.060914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SUM(D288:D775)</f>
        <v>1138637300.060914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SUM(D289:D776)</f>
        <v>1138404958.060914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SUM(D290:D777)</f>
        <v>1138211928.060914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SUM(D291:D778)</f>
        <v>1138113088.060914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SUM(D292:D779)</f>
        <v>1137952484.060914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SUM(D293:D780)</f>
        <v>1137824744.060914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SUM(D294:D781)</f>
        <v>1137638353.060914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SUM(D295:D782)</f>
        <v>1137438731.060914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SUM(D296:D783)</f>
        <v>1137203956.060914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SUM(D297:D784)</f>
        <v>1136975543.060914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SUM(D298:D785)</f>
        <v>1136809499.060914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SUM(D299:D786)</f>
        <v>1136577272.060914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SUM(D300:D787)</f>
        <v>1136382935.060914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SUM(D301:D788)</f>
        <v>1136192773.060914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SUM(D302:D789)</f>
        <v>1135958062.060914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SUM(D303:D790)</f>
        <v>1135697089.060914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SUM(D304:D791)</f>
        <v>1135422899.060914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SUM(D305:D792)</f>
        <v>1135116450.060914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SUM(D306:D793)</f>
        <v>1134866756.060914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SUM(D307:D794)</f>
        <v>1134645929.060914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SUM(D308:D795)</f>
        <v>1134431246.060914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SUM(D309:D796)</f>
        <v>1134207618.060914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SUM(D310:D797)</f>
        <v>1133969545.060914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SUM(D311:D798)</f>
        <v>1133735126.060914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SUM(D312:D799)</f>
        <v>1133486320.060914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SUM(D313:D800)</f>
        <v>1133283553.060914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SUM(D314:D801)</f>
        <v>1133108993.060914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SUM(D315:D802)</f>
        <v>1132959665.060914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SUM(D316:D803)</f>
        <v>1132785287.060914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SUM(D317:D804)</f>
        <v>1132595206.060914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SUM(D318:D805)</f>
        <v>1132401448.060914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SUM(D319:D806)</f>
        <v>1132209383.060914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SUM(D320:D807)</f>
        <v>1132036316.060914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SUM(D321:D808)</f>
        <v>1131901134.060914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SUM(D322:D809)</f>
        <v>1131748890.060914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SUM(D323:D810)</f>
        <v>1131597163.060914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SUM(D324:D811)</f>
        <v>1131437132.060914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SUM(D325:D812)</f>
        <v>1131274499.060914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SUM(D326:D813)</f>
        <v>1131105466.060914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SUM(D327:D814)</f>
        <v>1130964734.060914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SUM(D328:D815)</f>
        <v>1130856918.060914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SUM(D329:D816)</f>
        <v>1130730466.060914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SUM(D330:D817)</f>
        <v>1130614239.060914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SUM(D331:D818)</f>
        <v>1130500780.060914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SUM(D332:D819)</f>
        <v>1130379043.060914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SUM(D333:D820)</f>
        <v>1130252918.060914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SUM(D334:D821)</f>
        <v>1130146935.060914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SUM(D335:D822)</f>
        <v>1130055679.060914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SUM(D336:D823)</f>
        <v>1129965333.060914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SUM(D337:D824)</f>
        <v>1129869791.060914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SUM(D338:D825)</f>
        <v>1129772985.060914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SUM(D339:D826)</f>
        <v>1129668741.060914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SUM(D340:D827)</f>
        <v>1129568453.060914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SUM(D341:D828)</f>
        <v>1129481969.060914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SUM(D342:D829)</f>
        <v>1129417672.060914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SUM(D343:D830)</f>
        <v>1129364887.060914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SUM(D344:D831)</f>
        <v>1129301489.060914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SUM(D345:D832)</f>
        <v>1129229849.060914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SUM(D346:D833)</f>
        <v>1129160925.060914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SUM(D347:D834)</f>
        <v>1129075386.060914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SUM(D348:D835)</f>
        <v>1129005769.060914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SUM(D349:D836)</f>
        <v>1128948544.060914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SUM(D350:D837)</f>
        <v>1128877490.060914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SUM(D351:D838)</f>
        <v>1128803786.060914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SUM(D352:D839)</f>
        <v>1128728487.060914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SUM(D353:D840)</f>
        <v>1128651110.060914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SUM(D354:D841)</f>
        <v>1128570485.060914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SUM(D355:D842)</f>
        <v>1128506165.060914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SUM(D356:D843)</f>
        <v>1128456753.060914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SUM(D357:D844)</f>
        <v>1128401572.060914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SUM(D358:D845)</f>
        <v>1128344682.060914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SUM(D359:D846)</f>
        <v>1128277457.060914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SUM(D360:D847)</f>
        <v>1128209136.060914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SUM(D361:D848)</f>
        <v>1128139896.060914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SUM(D362:D849)</f>
        <v>1128081668.060914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SUM(D363:D850)</f>
        <v>1128039701.060914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SUM(D364:D851)</f>
        <v>1127994333.060914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SUM(D365:D852)</f>
        <v>1127938650.060914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65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SUM(D366:D853)</f>
        <v>1127877290.060914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SUM(D367:D854)</f>
        <v>1127814517.060914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SUM(D368:D855)</f>
        <v>1127747732.060914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SUM(D369:D856)</f>
        <v>1127698014.060914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SUM(D370:D857)</f>
        <v>1127661118.060914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SUM(D371:D858)</f>
        <v>1127614351.060914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SUM(D372:D859)</f>
        <v>1127561120.060914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SUM(D373:D860)</f>
        <v>1127497625.060914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SUM(D374:D861)</f>
        <v>1127434996.060914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SUM(D375:D862)</f>
        <v>1127368583.060914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SUM(D376:D863)</f>
        <v>1127312675.060914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SUM(D377:D864)</f>
        <v>1127273170.060914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SUM(D378:D865)</f>
        <v>1127227422.060914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SUM(D379:D866)</f>
        <v>1127168717.060914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SUM(D380:D867)</f>
        <v>1127102179.060914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SUM(D381:D868)</f>
        <v>1127035133.060914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SUM(D382:D869)</f>
        <v>1126958157.060914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SUM(D383:D870)</f>
        <v>1126894498.060914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SUM(D384:D871)</f>
        <v>1126850402.060914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SUM(D385:D872)</f>
        <v>1126790204.060914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SUM(D386:D873)</f>
        <v>1126727745.060914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SUM(D387:D874)</f>
        <v>1126658989.060914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SUM(D388:D875)</f>
        <v>1126614738.060914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SUM(D389:D876)</f>
        <v>1126544714.060914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SUM(D390:D877)</f>
        <v>1126478560.060914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SUM(D391:D878)</f>
        <v>1126441577.060914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SUM(D392:D879)</f>
        <v>1126383933.060914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SUM(D393:D880)</f>
        <v>1126321650.060914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SUM(D394:D881)</f>
        <v>1126246467.060914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SUM(D395:D882)</f>
        <v>1126166306.060914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SUM(D396:D883)</f>
        <v>1126080938.060914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SUM(D397:D884)</f>
        <v>1126014158.060914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SUM(D398:D885)</f>
        <v>1125966284.060914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SUM(D399:D886)</f>
        <v>1125909762.060914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SUM(D400:D887)</f>
        <v>1125832042.060914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SUM(D401:D888)</f>
        <v>1125753603.060914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SUM(D402:D889)</f>
        <v>1125679124.060914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SUM(D403:D890)</f>
        <v>1125597351.060914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SUM(D404:D891)</f>
        <v>1125533770.060914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SUM(D405:D892)</f>
        <v>1125490589.060914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SUM(D406:D893)</f>
        <v>1125438939.060914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SUM(D407:D894)</f>
        <v>1125378622.060914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SUM(D408:D895)</f>
        <v>1125313565.060914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SUM(D409:D896)</f>
        <v>1125246495.060914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SUM(D410:D897)</f>
        <v>1125179980.060914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SUM(D411:D898)</f>
        <v>1125126700.060914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SUM(D412:D899)</f>
        <v>1125091964.060914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SUM(D413:D900)</f>
        <v>1125044508.060914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SUM(D414:D901)</f>
        <v>1124992462.060914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SUM(D415:D902)</f>
        <v>1124935858.060914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SUM(D416:D903)</f>
        <v>1124876589.060914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SUM(D417:D904)</f>
        <v>1124816683.060914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SUM(D418:D905)</f>
        <v>1124774649.060914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SUM(D419:D906)</f>
        <v>1124743948.060914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SUM(D420:D907)</f>
        <v>1124703494.060914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SUM(D421:D908)</f>
        <v>1124661140.060914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SUM(D422:D909)</f>
        <v>1124615011.060914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SUM(D423:D910)</f>
        <v>1124567192.060914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SUM(D424:D911)</f>
        <v>1124517701.060914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SUM(D425:D912)</f>
        <v>1124481946.060914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SUM(D426:D913)</f>
        <v>1124459746.060914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SUM(D427:D914)</f>
        <v>1124429594.060914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SUM(D428:D915)</f>
        <v>1124394690.060914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SUM(D429:D916)</f>
        <v>1124358874.060914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SUM(D430:D917)</f>
        <v>1124319049.060914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SUM(D431:D918)</f>
        <v>1124279954.060914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SUM(D432:D919)</f>
        <v>1124254312.060914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SUM(D433:D920)</f>
        <v>1124236478.060914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SUM(D434:D921)</f>
        <v>1124211448.060914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SUM(D435:D922)</f>
        <v>1124183942.060914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SUM(D436:D923)</f>
        <v>1124155401.060914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SUM(D437:D924)</f>
        <v>1124125187.060914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SUM(D438:D925)</f>
        <v>1124096173.060914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SUM(D439:D926)</f>
        <v>1124076534.060914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SUM(D440:D927)</f>
        <v>1124062993.060914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SUM(D441:D928)</f>
        <v>1124042627.060914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SUM(D442:D929)</f>
        <v>1124019889.060914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565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SUM(D443:D930)</f>
        <v>1123996389.060914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SUM(D444:D931)</f>
        <v>1123971996.060914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SUM(D445:D932)</f>
        <v>1123949183.060914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SUM(D446:D933)</f>
        <v>1123936522.060914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SUM(D447:D934)</f>
        <v>1123928772.060914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SUM(D448:D935)</f>
        <v>1123923537.060914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SUM(D449:D936)</f>
        <v>1123910561.060914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SUM(D450:D937)</f>
        <v>1123893587.060914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SUM(D451:D938)</f>
        <v>1123875766.060914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SUM(D452:D939)</f>
        <v>1123858841.060914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SUM(D453:D940)</f>
        <v>1123847238.060914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SUM(D454:D941)</f>
        <v>1123840830.060914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SUM(D455:D942)</f>
        <v>1123828547.060914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SUM(D456:D943)</f>
        <v>1123815005.060914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SUM(D457:D944)</f>
        <v>1123800804.060914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SUM(D458:D945)</f>
        <v>1123784040.060914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SUM(D459:D946)</f>
        <v>1123767895.060914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SUM(D460:D947)</f>
        <v>1123758468.060914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SUM(D461:D948)</f>
        <v>1123753183.060914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SUM(D462:D949)</f>
        <v>1123741662.060914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SUM(D463:D950)</f>
        <v>1123729082.060914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SUM(D464:D951)</f>
        <v>1123715019.060914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SUM(D465:D952)</f>
        <v>1123701286.060914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SUM(D466:D953)</f>
        <v>1123687897.060914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SUM(D467:D954)</f>
        <v>1123680115.060914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SUM(D468:D955)</f>
        <v>1123675693.060914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SUM(D469:D956)</f>
        <v>1123665938.060914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SUM(D470:D957)</f>
        <v>1123653064.060914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SUM(D471:D958)</f>
        <v>1123639699.060914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SUM(D472:D959)</f>
        <v>1123624239.060914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SUM(D473:D960)</f>
        <v>1123608702.060914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SUM(D474:D961)</f>
        <v>1123602116.060914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SUM(D475:D962)</f>
        <v>1123594810.060914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SUM(D476:D963)</f>
        <v>1123582828.060914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SUM(D477:D964)</f>
        <v>1123571401.060914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SUM(D478:D965)</f>
        <v>1123557204.060914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SUM(D479:D966)</f>
        <v>1123540255.060914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SUM(D480:D967)</f>
        <v>1123521856.060914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SUM(D481:D968)</f>
        <v>1123513878.060914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SUM(D482:D969)</f>
        <v>1123508129.060914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SUM(D483:D970)</f>
        <v>1123502997.060914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SUM(D484:D971)</f>
        <v>1123491385.060914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SUM(D485:D972)</f>
        <v>1123474573.060914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SUM(D486:D973)</f>
        <v>1123455226.060914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SUM(D487:D974)</f>
        <v>1123427989.060914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SUM(D488:D975)</f>
        <v>1123413454.060914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SUM(D489:D976)</f>
        <v>1123406812.060914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57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SUM(D490:D977)</f>
        <v>1123386816.060914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SUM(D491:D978)</f>
        <v>1123347062.060914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SUM(D492:D979)</f>
        <v>1123311615.060914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SUM(D493:D980)</f>
        <v>1123274941.060914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SUM(D494:D981)</f>
        <v>1123234412.060914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SUM(D495:D982)</f>
        <v>1123210331.060914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SUM(D496:D983)</f>
        <v>1123188053.060914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SUM(D497:D984)</f>
        <v>1123155477.060914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SUM(D498:D985)</f>
        <v>1123111245.060914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SUM(D499:D986)</f>
        <v>1123054720.060914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SUM(D500:D987)</f>
        <v>1122993069.060914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SUM(D501:D988)</f>
        <v>1122925584.060914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SUM(D502:D989)</f>
        <v>1122888805.060914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SUM(D503:D990)</f>
        <v>1122874987.060914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SUM(D504:D991)</f>
        <v>1122839171.060914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SUM(D505:D992)</f>
        <v>1122777590.060914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SUM(D506:D993)</f>
        <v>1122693056.060914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SUM(D507:D994)</f>
        <v>1122608543.060914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SUM(D508:D995)</f>
        <v>1122507445.060914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SUM(D509:D996)</f>
        <v>1122455547.060914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SUM(D510:D997)</f>
        <v>1122433779.060914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SUM(D511:D998)</f>
        <v>1122377410.060914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SUM(D512:D999)</f>
        <v>1122272652.060914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SUM(D513:D1000)</f>
        <v>1122160373.060914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SUM(D514:D1001)</f>
        <v>1122039428.060914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SUM(D515:D1002)</f>
        <v>1121908722.060914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SUM(D516:D1003)</f>
        <v>1121839772.060914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SUM(D517:D1004)</f>
        <v>1121815382.060914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SUM(D518:D1005)</f>
        <v>1121713007.060914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SUM(D519:D1006)</f>
        <v>1121611753.060914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SUM(D520:D1007)</f>
        <v>1121467118.060914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SUM(D521:D1008)</f>
        <v>1121323581.060914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SUM(D522:D1009)</f>
        <v>1121168284.060914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" si="473">+H551+D552</f>
        <v>40154140</v>
      </c>
      <c r="I552" s="16"/>
      <c r="J552" s="436">
        <f t="shared" ref="J552" si="474">+D552/H551</f>
        <v>2.7327456102314443E-3</v>
      </c>
      <c r="K552" s="16"/>
      <c r="L552" s="16"/>
      <c r="M552" s="16"/>
      <c r="N552" s="16">
        <f t="shared" ref="N552" si="475">SUM(D546:D552)</f>
        <v>822378</v>
      </c>
      <c r="O552" s="16">
        <f t="shared" ref="O552" si="476">+H552/BW552</f>
        <v>73948.69244935544</v>
      </c>
      <c r="P552" s="41"/>
      <c r="Q552" s="17">
        <f t="shared" ref="Q552" si="477">SUM(D546:D552)</f>
        <v>822378</v>
      </c>
      <c r="R552" s="16"/>
      <c r="S552" s="60">
        <f t="shared" ref="S552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" si="479">SUM(W547:W552)</f>
        <v>7175</v>
      </c>
      <c r="AA552" s="33">
        <f t="shared" ref="AA552" si="480">+AA551+W552</f>
        <v>647123</v>
      </c>
      <c r="AB552" s="33"/>
      <c r="AC552" s="46">
        <f t="shared" ref="AC552" si="481">+AA552/H552</f>
        <v>1.6115972101506844E-2</v>
      </c>
      <c r="AD552" s="33"/>
      <c r="AE552" s="33">
        <f t="shared" ref="AE552" si="482">+AA552/BW552</f>
        <v>1191.7550644567218</v>
      </c>
      <c r="AF552" s="50"/>
      <c r="AG552" s="33">
        <f t="shared" ref="AG552" si="483">SUM(W546:W552)</f>
        <v>8094</v>
      </c>
      <c r="AH552" s="33">
        <f t="shared" ref="AH552" si="484">SUM(D523:D1010)</f>
        <v>1121097149.060914</v>
      </c>
      <c r="AI552" s="213">
        <f t="shared" ref="AI552" si="485">+(AG552-AG545)/AG545</f>
        <v>0.15595544130248501</v>
      </c>
      <c r="AJ552" s="50"/>
      <c r="AK552" s="111"/>
      <c r="AL552" s="23">
        <f t="shared" ref="AL552" si="486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87">+AL552/AP551</f>
        <v>5.9939066012698093E-3</v>
      </c>
      <c r="AS552" s="25"/>
      <c r="AT552" s="25"/>
      <c r="AU552" s="24"/>
      <c r="AV552" s="298">
        <f t="shared" ref="AV552" si="488">+AP552/H552</f>
        <v>0.79849562212016001</v>
      </c>
      <c r="AW552" s="298"/>
      <c r="AX552" s="24">
        <f t="shared" ref="AX552" si="489">+AP552/BW552</f>
        <v>59047.707182320439</v>
      </c>
      <c r="AY552" s="308"/>
      <c r="AZ552" s="111"/>
      <c r="BA552" s="65">
        <f t="shared" ref="BA552" si="490">+BC552-BC551</f>
        <v>3507865</v>
      </c>
      <c r="BB552" s="66"/>
      <c r="BC552" s="66">
        <v>609706717</v>
      </c>
      <c r="BD552" s="66"/>
      <c r="BE552" s="66">
        <f t="shared" ref="BE552" si="491">+D552</f>
        <v>109432</v>
      </c>
      <c r="BF552" s="66"/>
      <c r="BG552" s="144">
        <f t="shared" ref="BG552" si="492">+BE552/BA552</f>
        <v>3.1196183433512978E-2</v>
      </c>
      <c r="BH552" s="66"/>
      <c r="BI552" s="170"/>
      <c r="BJ552" s="66"/>
      <c r="BK552" s="66">
        <f t="shared" ref="BK552" si="493">SUM(BA546:BA552)</f>
        <v>16335497</v>
      </c>
      <c r="BL552" s="66"/>
      <c r="BM552" s="144">
        <f t="shared" ref="BM552" si="494">+Q552/BK552</f>
        <v>5.034300456239562E-2</v>
      </c>
      <c r="BN552" s="65">
        <f t="shared" ref="BN552" si="495">+BC552/BW552</f>
        <v>1122848.4659300183</v>
      </c>
      <c r="BO552" s="66"/>
      <c r="BP552" s="66">
        <f t="shared" ref="BP552" si="496">+BP551+BE552</f>
        <v>39247162</v>
      </c>
      <c r="BQ552" s="66"/>
      <c r="BR552" s="435">
        <f t="shared" ref="BR552" si="497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ref="H553" si="498">+H552+D553</f>
        <v>40296199</v>
      </c>
      <c r="I553" s="16"/>
      <c r="J553" s="436">
        <f t="shared" ref="J553" si="499">+D553/H552</f>
        <v>3.5378419261376287E-3</v>
      </c>
      <c r="K553" s="16"/>
      <c r="L553" s="16"/>
      <c r="M553" s="16"/>
      <c r="N553" s="16">
        <f t="shared" ref="N553" si="500">SUM(D547:D553)</f>
        <v>848661</v>
      </c>
      <c r="O553" s="16">
        <f t="shared" ref="O553" si="501">+H553/BW553</f>
        <v>74073.895220588238</v>
      </c>
      <c r="P553" s="41"/>
      <c r="Q553" s="17">
        <f t="shared" ref="Q553" si="502">SUM(D547:D553)</f>
        <v>848661</v>
      </c>
      <c r="R553" s="16"/>
      <c r="S553" s="60">
        <f t="shared" ref="S553" si="503">+(Q553-Q546)/Q546</f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ref="Z553" si="504">SUM(W548:W553)</f>
        <v>7409</v>
      </c>
      <c r="AA553" s="33">
        <f t="shared" ref="AA553" si="505">+AA552+W553</f>
        <v>649057</v>
      </c>
      <c r="AB553" s="33"/>
      <c r="AC553" s="46">
        <f t="shared" ref="AC553" si="506">+AA553/H553</f>
        <v>1.6107151942544258E-2</v>
      </c>
      <c r="AD553" s="33"/>
      <c r="AE553" s="33">
        <f t="shared" ref="AE553" si="507">+AA553/BW553</f>
        <v>1193.1194852941176</v>
      </c>
      <c r="AF553" s="50"/>
      <c r="AG553" s="33">
        <f t="shared" ref="AG553" si="508">SUM(W547:W553)</f>
        <v>9109</v>
      </c>
      <c r="AH553" s="33">
        <f t="shared" ref="AH553" si="509">SUM(D524:D1011)</f>
        <v>1121066266.060914</v>
      </c>
      <c r="AI553" s="213">
        <f t="shared" ref="AI553" si="510">+(AG553-AG546)/AG546</f>
        <v>0.36874530428249436</v>
      </c>
      <c r="AJ553" s="50"/>
      <c r="AK553" s="111"/>
      <c r="AL553" s="23">
        <f t="shared" ref="AL553" si="511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12">+AL553/AP552</f>
        <v>3.5517368123693096E-3</v>
      </c>
      <c r="AS553" s="25"/>
      <c r="AT553" s="25"/>
      <c r="AU553" s="24"/>
      <c r="AV553" s="298">
        <f t="shared" ref="AV553" si="513">+AP553/H553</f>
        <v>0.79850667801198816</v>
      </c>
      <c r="AW553" s="298"/>
      <c r="AX553" s="24">
        <f t="shared" ref="AX553" si="514">+AP553/BW553</f>
        <v>59148.5</v>
      </c>
      <c r="AY553" s="308"/>
      <c r="AZ553" s="111"/>
      <c r="BA553" s="65">
        <f t="shared" ref="BA553" si="515">+BC553-BC552</f>
        <v>1509314</v>
      </c>
      <c r="BB553" s="66"/>
      <c r="BC553" s="66">
        <v>611216031</v>
      </c>
      <c r="BD553" s="66"/>
      <c r="BE553" s="66">
        <f t="shared" ref="BE553" si="516">+D553</f>
        <v>142059</v>
      </c>
      <c r="BF553" s="66"/>
      <c r="BG553" s="144">
        <f t="shared" ref="BG553" si="517">+BE553/BA553</f>
        <v>9.4121567811601831E-2</v>
      </c>
      <c r="BH553" s="66"/>
      <c r="BI553" s="170"/>
      <c r="BJ553" s="66"/>
      <c r="BK553" s="66">
        <f t="shared" ref="BK553" si="518">SUM(BA547:BA553)</f>
        <v>13887767</v>
      </c>
      <c r="BL553" s="66"/>
      <c r="BM553" s="144">
        <f t="shared" ref="BM553" si="519">+Q553/BK553</f>
        <v>6.1108528102466003E-2</v>
      </c>
      <c r="BN553" s="65">
        <f t="shared" ref="BN553" si="520">+BC553/BW553</f>
        <v>1123558.8805147058</v>
      </c>
      <c r="BO553" s="66"/>
      <c r="BP553" s="66">
        <f t="shared" ref="BP553" si="521">+BP552+BE553</f>
        <v>39389221</v>
      </c>
      <c r="BQ553" s="66"/>
      <c r="BR553" s="435">
        <f t="shared" ref="BR553" si="522">+BP553/BC553</f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ref="H554" si="523">+H553+D554</f>
        <v>40460708</v>
      </c>
      <c r="I554" s="16"/>
      <c r="J554" s="436">
        <f t="shared" ref="J554" si="524">+D554/H553</f>
        <v>4.0824942322723792E-3</v>
      </c>
      <c r="K554" s="16"/>
      <c r="L554" s="16"/>
      <c r="M554" s="16"/>
      <c r="N554" s="16">
        <f t="shared" ref="N554" si="525">SUM(D548:D554)</f>
        <v>855411</v>
      </c>
      <c r="O554" s="16">
        <f t="shared" ref="O554" si="526">+H554/BW554</f>
        <v>74239.831192660553</v>
      </c>
      <c r="P554" s="41"/>
      <c r="Q554" s="17">
        <f t="shared" ref="Q554" si="527">SUM(D548:D554)</f>
        <v>855411</v>
      </c>
      <c r="R554" s="16"/>
      <c r="S554" s="60">
        <f t="shared" ref="S554" si="528">+(Q554-Q547)/Q547</f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ref="Z554" si="529">SUM(W549:W554)</f>
        <v>7762</v>
      </c>
      <c r="AA554" s="33">
        <f t="shared" ref="AA554" si="530">+AA553+W554</f>
        <v>651339</v>
      </c>
      <c r="AB554" s="33"/>
      <c r="AC554" s="46">
        <f t="shared" ref="AC554" si="531">+AA554/H554</f>
        <v>1.6098062347302475E-2</v>
      </c>
      <c r="AD554" s="33"/>
      <c r="AE554" s="33">
        <f t="shared" ref="AE554" si="532">+AA554/BW554</f>
        <v>1195.1174311926607</v>
      </c>
      <c r="AF554" s="50"/>
      <c r="AG554" s="33">
        <f t="shared" ref="AG554" si="533">SUM(W548:W554)</f>
        <v>9691</v>
      </c>
      <c r="AH554" s="33">
        <f t="shared" ref="AH554" si="534">SUM(D525:D1012)</f>
        <v>1120962569.060914</v>
      </c>
      <c r="AI554" s="213">
        <f t="shared" ref="AI554" si="535">+(AG554-AG547)/AG547</f>
        <v>0.40960000000000002</v>
      </c>
      <c r="AJ554" s="50"/>
      <c r="AK554" s="111"/>
      <c r="AL554" s="23">
        <f t="shared" ref="AL554" si="536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37">+AL554/AP553</f>
        <v>2.9306844338452221E-3</v>
      </c>
      <c r="AS554" s="25"/>
      <c r="AT554" s="25"/>
      <c r="AU554" s="24"/>
      <c r="AV554" s="298">
        <f t="shared" ref="AV554" si="538">+AP554/H554</f>
        <v>0.79759068971309155</v>
      </c>
      <c r="AW554" s="298"/>
      <c r="AX554" s="24">
        <f t="shared" ref="AX554" si="539">+AP554/BW554</f>
        <v>59212.998165137615</v>
      </c>
      <c r="AY554" s="308"/>
      <c r="AZ554" s="111"/>
      <c r="BA554" s="65">
        <f t="shared" ref="BA554" si="540">+BC554-BC553</f>
        <v>2550940</v>
      </c>
      <c r="BB554" s="66"/>
      <c r="BC554" s="66">
        <v>613766971</v>
      </c>
      <c r="BD554" s="66"/>
      <c r="BE554" s="66">
        <f t="shared" ref="BE554" si="541">+D554</f>
        <v>164509</v>
      </c>
      <c r="BF554" s="66"/>
      <c r="BG554" s="144">
        <f t="shared" ref="BG554" si="542">+BE554/BA554</f>
        <v>6.4489560710953603E-2</v>
      </c>
      <c r="BH554" s="66"/>
      <c r="BI554" s="170"/>
      <c r="BJ554" s="66"/>
      <c r="BK554" s="66">
        <f t="shared" ref="BK554" si="543">SUM(BA548:BA554)</f>
        <v>14749701</v>
      </c>
      <c r="BL554" s="66"/>
      <c r="BM554" s="144">
        <f t="shared" ref="BM554" si="544">+Q554/BK554</f>
        <v>5.7995141732025621E-2</v>
      </c>
      <c r="BN554" s="65">
        <f t="shared" ref="BN554" si="545">+BC554/BW554</f>
        <v>1126177.9284403669</v>
      </c>
      <c r="BO554" s="66"/>
      <c r="BP554" s="66">
        <f t="shared" ref="BP554" si="546">+BP553+BE554</f>
        <v>39553730</v>
      </c>
      <c r="BQ554" s="66"/>
      <c r="BR554" s="435">
        <f t="shared" ref="BR554" si="547">+BP554/BC554</f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ref="H555" si="548">+H554+D555</f>
        <v>40611850</v>
      </c>
      <c r="I555" s="16"/>
      <c r="J555" s="436">
        <f t="shared" ref="J555" si="549">+D555/H554</f>
        <v>3.7355253397938562E-3</v>
      </c>
      <c r="K555" s="16"/>
      <c r="L555" s="16"/>
      <c r="M555" s="16"/>
      <c r="N555" s="16">
        <f t="shared" ref="N555" si="550">SUM(D549:D555)</f>
        <v>845805</v>
      </c>
      <c r="O555" s="16">
        <f t="shared" ref="O555" si="551">+H555/BW555</f>
        <v>74380.67765567766</v>
      </c>
      <c r="P555" s="41"/>
      <c r="Q555" s="17">
        <f t="shared" ref="Q555" si="552">SUM(D549:D555)</f>
        <v>845805</v>
      </c>
      <c r="R555" s="16"/>
      <c r="S555" s="60">
        <f t="shared" ref="S555" si="553">+(Q555-Q548)/Q548</f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ref="Z555" si="554">SUM(W550:W555)</f>
        <v>7872</v>
      </c>
      <c r="AA555" s="33">
        <f t="shared" ref="AA555" si="555">+AA554+W555</f>
        <v>653210</v>
      </c>
      <c r="AB555" s="33"/>
      <c r="AC555" s="46">
        <f t="shared" ref="AC555" si="556">+AA555/H555</f>
        <v>1.6084221723462487E-2</v>
      </c>
      <c r="AD555" s="33"/>
      <c r="AE555" s="33">
        <f t="shared" ref="AE555" si="557">+AA555/BW555</f>
        <v>1196.3553113553114</v>
      </c>
      <c r="AF555" s="50"/>
      <c r="AG555" s="33">
        <f t="shared" ref="AG555" si="558">SUM(W549:W555)</f>
        <v>9633</v>
      </c>
      <c r="AH555" s="33">
        <f t="shared" ref="AH555" si="559">SUM(D526:D1013)</f>
        <v>1120818275.060914</v>
      </c>
      <c r="AI555" s="213">
        <f t="shared" ref="AI555" si="560">+(AG555-AG548)/AG548</f>
        <v>0.33070866141732286</v>
      </c>
      <c r="AJ555" s="50"/>
      <c r="AK555" s="111"/>
      <c r="AL555" s="23">
        <f t="shared" ref="AL555" si="561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62">+AL555/AP554</f>
        <v>2.3749434633184309E-3</v>
      </c>
      <c r="AS555" s="25"/>
      <c r="AT555" s="25"/>
      <c r="AU555" s="24"/>
      <c r="AV555" s="298">
        <f t="shared" ref="AV555" si="563">+AP555/H555</f>
        <v>0.7965095409344809</v>
      </c>
      <c r="AW555" s="298"/>
      <c r="AX555" s="24">
        <f t="shared" ref="AX555" si="564">+AP555/BW555</f>
        <v>59244.919413919415</v>
      </c>
      <c r="AY555" s="308"/>
      <c r="AZ555" s="111"/>
      <c r="BA555" s="65">
        <f t="shared" ref="BA555" si="565">+BC555-BC554</f>
        <v>1917422</v>
      </c>
      <c r="BB555" s="66"/>
      <c r="BC555" s="66">
        <v>615684393</v>
      </c>
      <c r="BD555" s="66"/>
      <c r="BE555" s="66">
        <f t="shared" ref="BE555" si="566">+D555</f>
        <v>151142</v>
      </c>
      <c r="BF555" s="66"/>
      <c r="BG555" s="144">
        <f t="shared" ref="BG555" si="567">+BE555/BA555</f>
        <v>7.8825631498960588E-2</v>
      </c>
      <c r="BH555" s="66"/>
      <c r="BI555" s="170"/>
      <c r="BJ555" s="66"/>
      <c r="BK555" s="66">
        <f t="shared" ref="BK555" si="568">SUM(BA549:BA555)</f>
        <v>14790703</v>
      </c>
      <c r="BL555" s="66"/>
      <c r="BM555" s="144">
        <f t="shared" ref="BM555" si="569">+Q555/BK555</f>
        <v>5.7184908655119368E-2</v>
      </c>
      <c r="BN555" s="65">
        <f t="shared" ref="BN555" si="570">+BC555/BW555</f>
        <v>1127627.0934065934</v>
      </c>
      <c r="BO555" s="66"/>
      <c r="BP555" s="66">
        <f t="shared" ref="BP555" si="571">+BP554+BE555</f>
        <v>39704872</v>
      </c>
      <c r="BQ555" s="66"/>
      <c r="BR555" s="435">
        <f t="shared" ref="BR555" si="572">+BP555/BC555</f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ref="H556" si="573">+H555+D556</f>
        <v>40770006</v>
      </c>
      <c r="I556" s="16"/>
      <c r="J556" s="436">
        <f t="shared" ref="J556" si="574">+D556/H555</f>
        <v>3.8943313343272959E-3</v>
      </c>
      <c r="K556" s="16"/>
      <c r="L556" s="16"/>
      <c r="M556" s="16"/>
      <c r="N556" s="16">
        <f t="shared" ref="N556" si="575">SUM(D550:D556)</f>
        <v>832836</v>
      </c>
      <c r="O556" s="16">
        <f t="shared" ref="O556" si="576">+H556/BW556</f>
        <v>74533.831809872034</v>
      </c>
      <c r="P556" s="41"/>
      <c r="Q556" s="17">
        <f t="shared" ref="Q556" si="577">SUM(D550:D556)</f>
        <v>832836</v>
      </c>
      <c r="R556" s="16"/>
      <c r="S556" s="60">
        <f t="shared" ref="S556" si="578">+(Q556-Q549)/Q549</f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ref="Z556" si="579">SUM(W551:W556)</f>
        <v>9091</v>
      </c>
      <c r="AA556" s="33">
        <f t="shared" ref="AA556" si="580">+AA555+W556</f>
        <v>655148</v>
      </c>
      <c r="AB556" s="33"/>
      <c r="AC556" s="46">
        <f t="shared" ref="AC556" si="581">+AA556/H556</f>
        <v>1.6069362364086973E-2</v>
      </c>
      <c r="AD556" s="33"/>
      <c r="AE556" s="33">
        <f t="shared" ref="AE556" si="582">+AA556/BW556</f>
        <v>1197.7111517367459</v>
      </c>
      <c r="AF556" s="50"/>
      <c r="AG556" s="33">
        <f t="shared" ref="AG556" si="583">SUM(W550:W556)</f>
        <v>9810</v>
      </c>
      <c r="AH556" s="33">
        <f t="shared" ref="AH556" si="584">SUM(D527:D1014)</f>
        <v>1120660148.060914</v>
      </c>
      <c r="AI556" s="213">
        <f t="shared" ref="AI556" si="585">+(AG556-AG549)/AG549</f>
        <v>0.31009615384615385</v>
      </c>
      <c r="AJ556" s="50"/>
      <c r="AK556" s="111"/>
      <c r="AL556" s="23">
        <f t="shared" ref="AL556" si="586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87">+AL556/AP555</f>
        <v>2.6722125691308256E-3</v>
      </c>
      <c r="AS556" s="25"/>
      <c r="AT556" s="25"/>
      <c r="AU556" s="24"/>
      <c r="AV556" s="298">
        <f t="shared" ref="AV556" si="588">+AP556/H556</f>
        <v>0.79553988782832163</v>
      </c>
      <c r="AW556" s="298"/>
      <c r="AX556" s="24">
        <f t="shared" ref="AX556" si="589">+AP556/BW556</f>
        <v>59294.636197440588</v>
      </c>
      <c r="AY556" s="308"/>
      <c r="AZ556" s="111"/>
      <c r="BA556" s="65">
        <f t="shared" ref="BA556" si="590">+BC556-BC555</f>
        <v>2140934</v>
      </c>
      <c r="BB556" s="66"/>
      <c r="BC556" s="66">
        <v>617825327</v>
      </c>
      <c r="BD556" s="66"/>
      <c r="BE556" s="66">
        <f t="shared" ref="BE556" si="591">+D556</f>
        <v>158156</v>
      </c>
      <c r="BF556" s="66"/>
      <c r="BG556" s="144">
        <f t="shared" ref="BG556" si="592">+BE556/BA556</f>
        <v>7.3872431378080777E-2</v>
      </c>
      <c r="BH556" s="66"/>
      <c r="BI556" s="170"/>
      <c r="BJ556" s="66"/>
      <c r="BK556" s="66">
        <f t="shared" ref="BK556" si="593">SUM(BA550:BA556)</f>
        <v>15031294</v>
      </c>
      <c r="BL556" s="66"/>
      <c r="BM556" s="144">
        <f t="shared" ref="BM556" si="594">+Q556/BK556</f>
        <v>5.5406806626229252E-2</v>
      </c>
      <c r="BN556" s="65">
        <f t="shared" ref="BN556" si="595">+BC556/BW556</f>
        <v>1129479.5740402194</v>
      </c>
      <c r="BO556" s="66"/>
      <c r="BP556" s="66">
        <f t="shared" ref="BP556" si="596">+BP555+BE556</f>
        <v>39863028</v>
      </c>
      <c r="BQ556" s="66"/>
      <c r="BR556" s="435">
        <f t="shared" ref="BR556" si="597">+BP556/BC556</f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ref="H557" si="598">+H556+D557</f>
        <v>40834565</v>
      </c>
      <c r="I557" s="16"/>
      <c r="J557" s="436">
        <f t="shared" ref="J557" si="599">+D557/H556</f>
        <v>1.5834925312495662E-3</v>
      </c>
      <c r="K557" s="16"/>
      <c r="L557" s="16"/>
      <c r="M557" s="16"/>
      <c r="N557" s="16">
        <f t="shared" ref="N557" si="600">SUM(D551:D557)</f>
        <v>825307</v>
      </c>
      <c r="O557" s="16">
        <f t="shared" ref="O557" si="601">+H557/BW557</f>
        <v>74515.629562043789</v>
      </c>
      <c r="P557" s="41"/>
      <c r="Q557" s="17">
        <f t="shared" ref="Q557" si="602">SUM(D551:D557)</f>
        <v>825307</v>
      </c>
      <c r="R557" s="16"/>
      <c r="S557" s="60">
        <f t="shared" ref="S557" si="603">+(Q557-Q550)/Q550</f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ref="Z557" si="604">SUM(W552:W557)</f>
        <v>9689</v>
      </c>
      <c r="AA557" s="33">
        <f t="shared" ref="AA557" si="605">+AA556+W557</f>
        <v>655997</v>
      </c>
      <c r="AB557" s="33"/>
      <c r="AC557" s="46">
        <f t="shared" ref="AC557" si="606">+AA557/H557</f>
        <v>1.6064748087802574E-2</v>
      </c>
      <c r="AD557" s="33"/>
      <c r="AE557" s="33">
        <f t="shared" ref="AE557" si="607">+AA557/BW557</f>
        <v>1197.0748175182482</v>
      </c>
      <c r="AF557" s="50"/>
      <c r="AG557" s="33">
        <f t="shared" ref="AG557" si="608">SUM(W551:W557)</f>
        <v>9940</v>
      </c>
      <c r="AH557" s="33">
        <f t="shared" ref="AH557" si="609">SUM(D528:D1015)</f>
        <v>1120505231.060914</v>
      </c>
      <c r="AI557" s="213">
        <f t="shared" ref="AI557" si="610">+(AG557-AG550)/AG550</f>
        <v>0.30258157515397721</v>
      </c>
      <c r="AJ557" s="50"/>
      <c r="AK557" s="111"/>
      <c r="AL557" s="23">
        <f t="shared" ref="AL557" si="611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12">+AL557/AP556</f>
        <v>1.5126024822096551E-3</v>
      </c>
      <c r="AS557" s="25"/>
      <c r="AT557" s="25"/>
      <c r="AU557" s="24"/>
      <c r="AV557" s="298">
        <f t="shared" ref="AV557" si="613">+AP557/H557</f>
        <v>0.79548358112789985</v>
      </c>
      <c r="AW557" s="298"/>
      <c r="AX557" s="24">
        <f t="shared" ref="AX557" si="614">+AP557/BW557</f>
        <v>59275.959854014596</v>
      </c>
      <c r="AY557" s="308"/>
      <c r="AZ557" s="111"/>
      <c r="BA557" s="65">
        <f t="shared" ref="BA557" si="615">+BC557-BC556</f>
        <v>1161730</v>
      </c>
      <c r="BB557" s="66"/>
      <c r="BC557" s="66">
        <v>618987057</v>
      </c>
      <c r="BD557" s="66"/>
      <c r="BE557" s="66">
        <f t="shared" ref="BE557" si="616">+D557</f>
        <v>64559</v>
      </c>
      <c r="BF557" s="66"/>
      <c r="BG557" s="144">
        <f t="shared" ref="BG557" si="617">+BE557/BA557</f>
        <v>5.5571432260508036E-2</v>
      </c>
      <c r="BH557" s="66"/>
      <c r="BI557" s="170"/>
      <c r="BJ557" s="66"/>
      <c r="BK557" s="66">
        <f t="shared" ref="BK557" si="618">SUM(BA551:BA557)</f>
        <v>13931615</v>
      </c>
      <c r="BL557" s="66"/>
      <c r="BM557" s="144">
        <f t="shared" ref="BM557" si="619">+Q557/BK557</f>
        <v>5.9239865586294196E-2</v>
      </c>
      <c r="BN557" s="65">
        <f t="shared" ref="BN557" si="620">+BC557/BW557</f>
        <v>1129538.4251824818</v>
      </c>
      <c r="BO557" s="66"/>
      <c r="BP557" s="66">
        <f t="shared" ref="BP557" si="621">+BP556+BE557</f>
        <v>39927587</v>
      </c>
      <c r="BQ557" s="66"/>
      <c r="BR557" s="435">
        <f t="shared" ref="BR557" si="622">+BP557/BC557</f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ref="H558" si="623">+H557+D558</f>
        <v>40871062</v>
      </c>
      <c r="I558" s="16"/>
      <c r="J558" s="436">
        <f t="shared" ref="J558" si="624">+D558/H557</f>
        <v>8.9377712239618564E-4</v>
      </c>
      <c r="K558" s="16"/>
      <c r="L558" s="16"/>
      <c r="M558" s="16"/>
      <c r="N558" s="16">
        <f t="shared" ref="N558" si="625">SUM(D552:D558)</f>
        <v>826354</v>
      </c>
      <c r="O558" s="16">
        <f t="shared" ref="O558" si="626">+H558/BW558</f>
        <v>74446.378870673958</v>
      </c>
      <c r="P558" s="41"/>
      <c r="Q558" s="17">
        <f t="shared" ref="Q558" si="627">SUM(D552:D558)</f>
        <v>826354</v>
      </c>
      <c r="R558" s="16"/>
      <c r="S558" s="60">
        <f t="shared" ref="S558" si="628">+(Q558-Q551)/Q551</f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ref="Z558" si="629">SUM(W553:W558)</f>
        <v>9247</v>
      </c>
      <c r="AA558" s="33">
        <f t="shared" ref="AA558" si="630">+AA557+W558</f>
        <v>656370</v>
      </c>
      <c r="AB558" s="33"/>
      <c r="AC558" s="46">
        <f t="shared" ref="AC558" si="631">+AA558/H558</f>
        <v>1.6059528866658762E-2</v>
      </c>
      <c r="AD558" s="33"/>
      <c r="AE558" s="33">
        <f t="shared" ref="AE558" si="632">+AA558/BW558</f>
        <v>1195.5737704918033</v>
      </c>
      <c r="AF558" s="50"/>
      <c r="AG558" s="33">
        <f t="shared" ref="AG558" si="633">SUM(W552:W558)</f>
        <v>10062</v>
      </c>
      <c r="AH558" s="33">
        <f t="shared" ref="AH558" si="634">SUM(D529:D1016)</f>
        <v>1120354123.060914</v>
      </c>
      <c r="AI558" s="213">
        <f t="shared" ref="AI558" si="635">+(AG558-AG551)/AG551</f>
        <v>0.33892215568862277</v>
      </c>
      <c r="AJ558" s="50"/>
      <c r="AK558" s="111"/>
      <c r="AL558" s="23">
        <f t="shared" ref="AL558" si="636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37">+AL558/AP557</f>
        <v>6.393761506323294E-4</v>
      </c>
      <c r="AS558" s="25"/>
      <c r="AT558" s="25"/>
      <c r="AU558" s="24"/>
      <c r="AV558" s="298">
        <f t="shared" ref="AV558" si="638">+AP558/H558</f>
        <v>0.79528139004560239</v>
      </c>
      <c r="AW558" s="298"/>
      <c r="AX558" s="24">
        <f t="shared" ref="AX558" si="639">+AP558/BW558</f>
        <v>59205.819672131147</v>
      </c>
      <c r="AY558" s="308"/>
      <c r="AZ558" s="111"/>
      <c r="BA558" s="65">
        <f t="shared" ref="BA558" si="640">+BC558-BC557</f>
        <v>938244</v>
      </c>
      <c r="BB558" s="66"/>
      <c r="BC558" s="66">
        <v>619925301</v>
      </c>
      <c r="BD558" s="66"/>
      <c r="BE558" s="66">
        <f t="shared" ref="BE558" si="641">+D558</f>
        <v>36497</v>
      </c>
      <c r="BF558" s="66"/>
      <c r="BG558" s="144">
        <f t="shared" ref="BG558" si="642">+BE558/BA558</f>
        <v>3.8899262878313107E-2</v>
      </c>
      <c r="BH558" s="66"/>
      <c r="BI558" s="170"/>
      <c r="BJ558" s="66"/>
      <c r="BK558" s="66">
        <f t="shared" ref="BK558" si="643">SUM(BA552:BA558)</f>
        <v>13726449</v>
      </c>
      <c r="BL558" s="66"/>
      <c r="BM558" s="144">
        <f t="shared" ref="BM558" si="644">+Q558/BK558</f>
        <v>6.0201586003779999E-2</v>
      </c>
      <c r="BN558" s="65">
        <f t="shared" ref="BN558" si="645">+BC558/BW558</f>
        <v>1129189.9836065574</v>
      </c>
      <c r="BO558" s="66"/>
      <c r="BP558" s="66">
        <f t="shared" ref="BP558" si="646">+BP557+BE558</f>
        <v>39964084</v>
      </c>
      <c r="BQ558" s="66"/>
      <c r="BR558" s="435">
        <f t="shared" ref="BR558" si="647">+BP558/BC558</f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ref="H559" si="648">+H558+D559</f>
        <v>40957134</v>
      </c>
      <c r="I559" s="16"/>
      <c r="J559" s="436">
        <f t="shared" ref="J559" si="649">+D559/H558</f>
        <v>2.105939894588499E-3</v>
      </c>
      <c r="K559" s="16"/>
      <c r="L559" s="16"/>
      <c r="M559" s="16"/>
      <c r="N559" s="16">
        <f t="shared" ref="N559" si="650">SUM(D553:D559)</f>
        <v>802994</v>
      </c>
      <c r="O559" s="16">
        <f t="shared" ref="O559" si="651">+H559/BW559</f>
        <v>74467.516363636358</v>
      </c>
      <c r="P559" s="41"/>
      <c r="Q559" s="17">
        <f t="shared" ref="Q559" si="652">SUM(D553:D559)</f>
        <v>802994</v>
      </c>
      <c r="R559" s="16"/>
      <c r="S559" s="60">
        <f t="shared" ref="S559" si="653">+(Q559-Q552)/Q552</f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ref="Z559" si="654">SUM(W554:W559)</f>
        <v>8059</v>
      </c>
      <c r="AA559" s="33">
        <f t="shared" ref="AA559" si="655">+AA558+W559</f>
        <v>657116</v>
      </c>
      <c r="AB559" s="33"/>
      <c r="AC559" s="46">
        <f t="shared" ref="AC559" si="656">+AA559/H559</f>
        <v>1.6043993703270351E-2</v>
      </c>
      <c r="AD559" s="33"/>
      <c r="AE559" s="33">
        <f t="shared" ref="AE559" si="657">+AA559/BW559</f>
        <v>1194.7563636363636</v>
      </c>
      <c r="AF559" s="50"/>
      <c r="AG559" s="33">
        <f t="shared" ref="AG559" si="658">SUM(W553:W559)</f>
        <v>9993</v>
      </c>
      <c r="AH559" s="33">
        <f t="shared" ref="AH559" si="659">SUM(D530:D1017)</f>
        <v>1120209040.060914</v>
      </c>
      <c r="AI559" s="213">
        <f t="shared" ref="AI559" si="660">+(AG559-AG552)/AG552</f>
        <v>0.23461823573017049</v>
      </c>
      <c r="AJ559" s="50"/>
      <c r="AK559" s="111"/>
      <c r="AL559" s="23">
        <f t="shared" ref="AL559" si="661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62">+AL559/AP558</f>
        <v>5.2912572746826965E-3</v>
      </c>
      <c r="AS559" s="25"/>
      <c r="AT559" s="25"/>
      <c r="AU559" s="24"/>
      <c r="AV559" s="298">
        <f t="shared" ref="AV559" si="663">+AP559/H559</f>
        <v>0.79780929007386114</v>
      </c>
      <c r="AW559" s="298"/>
      <c r="AX559" s="24">
        <f t="shared" ref="AX559" si="664">+AP559/BW559</f>
        <v>59410.876363636366</v>
      </c>
      <c r="AY559" s="308"/>
      <c r="AZ559" s="111"/>
      <c r="BA559" s="65">
        <f t="shared" ref="BA559" si="665">+BC559-BC558</f>
        <v>3246880</v>
      </c>
      <c r="BB559" s="66"/>
      <c r="BC559" s="66">
        <v>623172181</v>
      </c>
      <c r="BD559" s="66"/>
      <c r="BE559" s="66">
        <f t="shared" ref="BE559" si="666">+D559</f>
        <v>86072</v>
      </c>
      <c r="BF559" s="66"/>
      <c r="BG559" s="144">
        <f t="shared" ref="BG559" si="667">+BE559/BA559</f>
        <v>2.6509141083132116E-2</v>
      </c>
      <c r="BH559" s="66"/>
      <c r="BI559" s="170"/>
      <c r="BJ559" s="66"/>
      <c r="BK559" s="66">
        <f t="shared" ref="BK559" si="668">SUM(BA553:BA559)</f>
        <v>13465464</v>
      </c>
      <c r="BL559" s="66"/>
      <c r="BM559" s="144">
        <f t="shared" ref="BM559" si="669">+Q559/BK559</f>
        <v>5.9633593019891476E-2</v>
      </c>
      <c r="BN559" s="65">
        <f t="shared" ref="BN559" si="670">+BC559/BW559</f>
        <v>1133040.3290909091</v>
      </c>
      <c r="BO559" s="66"/>
      <c r="BP559" s="66">
        <f t="shared" ref="BP559" si="671">+BP558+BE559</f>
        <v>40050156</v>
      </c>
      <c r="BQ559" s="66"/>
      <c r="BR559" s="435">
        <f t="shared" ref="BR559" si="672">+BP559/BC559</f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ref="H560" si="673">+H559+D560</f>
        <v>41077713</v>
      </c>
      <c r="I560" s="16"/>
      <c r="J560" s="436">
        <f t="shared" ref="J560" si="674">+D560/H559</f>
        <v>2.9440292379833023E-3</v>
      </c>
      <c r="K560" s="16"/>
      <c r="L560" s="16"/>
      <c r="M560" s="16"/>
      <c r="N560" s="16">
        <f t="shared" ref="N560" si="675">SUM(D554:D560)</f>
        <v>781514</v>
      </c>
      <c r="O560" s="16">
        <f t="shared" ref="O560" si="676">+H560/BW560</f>
        <v>74551.203266787663</v>
      </c>
      <c r="P560" s="41"/>
      <c r="Q560" s="17">
        <f t="shared" ref="Q560" si="677">SUM(D554:D560)</f>
        <v>781514</v>
      </c>
      <c r="R560" s="16"/>
      <c r="S560" s="60">
        <f t="shared" ref="S560" si="678">+(Q560-Q553)/Q553</f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ref="Z560" si="679">SUM(W555:W560)</f>
        <v>7704</v>
      </c>
      <c r="AA560" s="33">
        <f t="shared" ref="AA560" si="680">+AA559+W560</f>
        <v>659043</v>
      </c>
      <c r="AB560" s="33"/>
      <c r="AC560" s="46">
        <f t="shared" ref="AC560" si="681">+AA560/H560</f>
        <v>1.6043809449664347E-2</v>
      </c>
      <c r="AD560" s="33"/>
      <c r="AE560" s="33">
        <f t="shared" ref="AE560" si="682">+AA560/BW560</f>
        <v>1196.0852994555353</v>
      </c>
      <c r="AF560" s="50"/>
      <c r="AG560" s="33">
        <f t="shared" ref="AG560" si="683">SUM(W554:W560)</f>
        <v>9986</v>
      </c>
      <c r="AH560" s="33">
        <f t="shared" ref="AH560" si="684">SUM(D531:D1018)</f>
        <v>1120109857.060914</v>
      </c>
      <c r="AI560" s="213">
        <f t="shared" ref="AI560" si="685">+(AG560-AG553)/AG553</f>
        <v>9.6278405972115497E-2</v>
      </c>
      <c r="AJ560" s="50"/>
      <c r="AK560" s="111"/>
      <c r="AL560" s="23">
        <f t="shared" ref="AL560" si="686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87">+AL560/AP559</f>
        <v>4.7142577076949056E-3</v>
      </c>
      <c r="AS560" s="25"/>
      <c r="AT560" s="25"/>
      <c r="AU560" s="24"/>
      <c r="AV560" s="298">
        <f t="shared" ref="AV560" si="688">+AP560/H560</f>
        <v>0.79921744913111403</v>
      </c>
      <c r="AW560" s="298"/>
      <c r="AX560" s="24">
        <f t="shared" ref="AX560" si="689">+AP560/BW560</f>
        <v>59582.622504537205</v>
      </c>
      <c r="AY560" s="308"/>
      <c r="AZ560" s="111"/>
      <c r="BA560" s="65">
        <f t="shared" ref="BA560" si="690">+BC560-BC559</f>
        <v>1840361</v>
      </c>
      <c r="BB560" s="66"/>
      <c r="BC560" s="66">
        <v>625012542</v>
      </c>
      <c r="BD560" s="66"/>
      <c r="BE560" s="66">
        <f t="shared" ref="BE560" si="691">+D560</f>
        <v>120579</v>
      </c>
      <c r="BF560" s="66"/>
      <c r="BG560" s="144">
        <f t="shared" ref="BG560" si="692">+BE560/BA560</f>
        <v>6.5519210633131222E-2</v>
      </c>
      <c r="BH560" s="66"/>
      <c r="BI560" s="170"/>
      <c r="BJ560" s="66"/>
      <c r="BK560" s="66">
        <f t="shared" ref="BK560" si="693">SUM(BA554:BA560)</f>
        <v>13796511</v>
      </c>
      <c r="BL560" s="66"/>
      <c r="BM560" s="144">
        <f t="shared" ref="BM560" si="694">+Q560/BK560</f>
        <v>5.6645770803937318E-2</v>
      </c>
      <c r="BN560" s="65">
        <f t="shared" ref="BN560" si="695">+BC560/BW560</f>
        <v>1134324.0326678767</v>
      </c>
      <c r="BO560" s="66"/>
      <c r="BP560" s="66">
        <f t="shared" ref="BP560" si="696">+BP559+BE560</f>
        <v>40170735</v>
      </c>
      <c r="BQ560" s="66"/>
      <c r="BR560" s="435">
        <f t="shared" ref="BR560" si="697">+BP560/BC560</f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8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ref="H561" si="698">+H560+D561</f>
        <v>41211333</v>
      </c>
      <c r="I561" s="16"/>
      <c r="J561" s="436">
        <f t="shared" ref="J561" si="699">+D561/H560</f>
        <v>3.2528587947435145E-3</v>
      </c>
      <c r="K561" s="16"/>
      <c r="L561" s="16"/>
      <c r="M561" s="16"/>
      <c r="N561" s="16">
        <f t="shared" ref="N561" si="700">SUM(D555:D561)</f>
        <v>750625</v>
      </c>
      <c r="O561" s="16">
        <f t="shared" ref="O561" si="701">+H561/BW561</f>
        <v>74658.211956521744</v>
      </c>
      <c r="P561" s="41"/>
      <c r="Q561" s="17">
        <f t="shared" ref="Q561" si="702">SUM(D555:D561)</f>
        <v>750625</v>
      </c>
      <c r="R561" s="16"/>
      <c r="S561" s="60">
        <f t="shared" ref="S561" si="703">+(Q561-Q554)/Q554</f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ref="Z561" si="704">SUM(W556:W561)</f>
        <v>8061</v>
      </c>
      <c r="AA561" s="33">
        <f t="shared" ref="AA561" si="705">+AA560+W561</f>
        <v>661271</v>
      </c>
      <c r="AB561" s="33"/>
      <c r="AC561" s="46">
        <f t="shared" ref="AC561" si="706">+AA561/H561</f>
        <v>1.6045853212270519E-2</v>
      </c>
      <c r="AD561" s="33"/>
      <c r="AE561" s="33">
        <f t="shared" ref="AE561" si="707">+AA561/BW561</f>
        <v>1197.9547101449275</v>
      </c>
      <c r="AF561" s="50"/>
      <c r="AG561" s="33">
        <f t="shared" ref="AG561" si="708">SUM(W555:W561)</f>
        <v>9932</v>
      </c>
      <c r="AH561" s="33">
        <f t="shared" ref="AH561" si="709">SUM(D532:D1019)</f>
        <v>1119998723.060914</v>
      </c>
      <c r="AI561" s="213">
        <f t="shared" ref="AI561" si="710">+(AG561-AG554)/AG554</f>
        <v>2.4868434630069138E-2</v>
      </c>
      <c r="AJ561" s="50"/>
      <c r="AK561" s="111"/>
      <c r="AL561" s="23">
        <f t="shared" ref="AL561" si="71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12">+AL561/AP560</f>
        <v>3.5890621466173112E-3</v>
      </c>
      <c r="AS561" s="25"/>
      <c r="AT561" s="25"/>
      <c r="AU561" s="24"/>
      <c r="AV561" s="298">
        <f t="shared" ref="AV561" si="713">+AP561/H561</f>
        <v>0.79948527750849507</v>
      </c>
      <c r="AW561" s="298"/>
      <c r="AX561" s="24">
        <f t="shared" ref="AX561" si="714">+AP561/BW561</f>
        <v>59688.141304347824</v>
      </c>
      <c r="AY561" s="308"/>
      <c r="AZ561" s="111"/>
      <c r="BA561" s="65">
        <f t="shared" ref="BA561" si="715">+BC561-BC560</f>
        <v>2041090</v>
      </c>
      <c r="BB561" s="66"/>
      <c r="BC561" s="66">
        <v>627053632</v>
      </c>
      <c r="BD561" s="66"/>
      <c r="BE561" s="66">
        <f t="shared" ref="BE561" si="716">+D561</f>
        <v>133620</v>
      </c>
      <c r="BF561" s="66"/>
      <c r="BG561" s="144">
        <f t="shared" ref="BG561" si="717">+BE561/BA561</f>
        <v>6.5465021140665033E-2</v>
      </c>
      <c r="BH561" s="66"/>
      <c r="BI561" s="170"/>
      <c r="BJ561" s="66"/>
      <c r="BK561" s="66">
        <f t="shared" ref="BK561" si="718">SUM(BA555:BA561)</f>
        <v>13286661</v>
      </c>
      <c r="BL561" s="66"/>
      <c r="BM561" s="144">
        <f t="shared" ref="BM561" si="719">+Q561/BK561</f>
        <v>5.649463021597375E-2</v>
      </c>
      <c r="BN561" s="65">
        <f t="shared" ref="BN561" si="720">+BC561/BW561</f>
        <v>1135966.7246376812</v>
      </c>
      <c r="BO561" s="66"/>
      <c r="BP561" s="66">
        <f t="shared" ref="BP561" si="721">+BP560+BE561</f>
        <v>40304355</v>
      </c>
      <c r="BQ561" s="66"/>
      <c r="BR561" s="435">
        <f t="shared" ref="BR561" si="722">+BP561/BC561</f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8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ref="H562" si="723">+H561+D562</f>
        <v>41338796</v>
      </c>
      <c r="I562" s="16"/>
      <c r="J562" s="436">
        <f t="shared" ref="J562" si="724">+D562/H561</f>
        <v>3.0929113600863143E-3</v>
      </c>
      <c r="K562" s="16"/>
      <c r="L562" s="16"/>
      <c r="M562" s="16"/>
      <c r="N562" s="16">
        <f t="shared" ref="N562" si="725">SUM(D556:D562)</f>
        <v>726946</v>
      </c>
      <c r="O562" s="16">
        <f t="shared" ref="O562" si="726">+H562/BW562</f>
        <v>74753.699819168178</v>
      </c>
      <c r="P562" s="41"/>
      <c r="Q562" s="17">
        <f t="shared" ref="Q562" si="727">SUM(D556:D562)</f>
        <v>726946</v>
      </c>
      <c r="R562" s="16"/>
      <c r="S562" s="60">
        <f t="shared" ref="S562" si="728">+(Q562-Q555)/Q555</f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ref="Z562" si="729">SUM(W557:W562)</f>
        <v>8097</v>
      </c>
      <c r="AA562" s="33">
        <f t="shared" ref="AA562" si="730">+AA561+W562</f>
        <v>663245</v>
      </c>
      <c r="AB562" s="33"/>
      <c r="AC562" s="46">
        <f t="shared" ref="AC562" si="731">+AA562/H562</f>
        <v>1.6044129587131663E-2</v>
      </c>
      <c r="AD562" s="33"/>
      <c r="AE562" s="33">
        <f t="shared" ref="AE562" si="732">+AA562/BW562</f>
        <v>1199.3580470162749</v>
      </c>
      <c r="AF562" s="50"/>
      <c r="AG562" s="33">
        <f t="shared" ref="AG562" si="733">SUM(W556:W562)</f>
        <v>10035</v>
      </c>
      <c r="AH562" s="33">
        <f t="shared" ref="AH562" si="734">SUM(D533:D1020)</f>
        <v>1119851104.060914</v>
      </c>
      <c r="AI562" s="213">
        <f t="shared" ref="AI562" si="735">+(AG562-AG555)/AG555</f>
        <v>4.17315478044223E-2</v>
      </c>
      <c r="AJ562" s="50"/>
      <c r="AK562" s="111"/>
      <c r="AL562" s="23">
        <f t="shared" ref="AL562" si="736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37">+AL562/AP561</f>
        <v>2.6001996973763451E-3</v>
      </c>
      <c r="AS562" s="25"/>
      <c r="AT562" s="25"/>
      <c r="AU562" s="24"/>
      <c r="AV562" s="298">
        <f t="shared" ref="AV562" si="738">+AP562/H562</f>
        <v>0.79909257637788966</v>
      </c>
      <c r="AW562" s="298"/>
      <c r="AX562" s="24">
        <f t="shared" ref="AX562" si="739">+AP562/BW562</f>
        <v>59735.126582278484</v>
      </c>
      <c r="AY562" s="308"/>
      <c r="AZ562" s="111"/>
      <c r="BA562" s="65">
        <f t="shared" ref="BA562" si="740">+BC562-BC561</f>
        <v>1964598</v>
      </c>
      <c r="BB562" s="66"/>
      <c r="BC562" s="66">
        <v>629018230</v>
      </c>
      <c r="BD562" s="66"/>
      <c r="BE562" s="66">
        <f t="shared" ref="BE562" si="741">+D562</f>
        <v>127463</v>
      </c>
      <c r="BF562" s="66"/>
      <c r="BG562" s="144">
        <f t="shared" ref="BG562" si="742">+BE562/BA562</f>
        <v>6.4879939814659282E-2</v>
      </c>
      <c r="BH562" s="66"/>
      <c r="BI562" s="170"/>
      <c r="BJ562" s="66"/>
      <c r="BK562" s="66">
        <f t="shared" ref="BK562" si="743">SUM(BA556:BA562)</f>
        <v>13333837</v>
      </c>
      <c r="BL562" s="66"/>
      <c r="BM562" s="144">
        <f t="shared" ref="BM562" si="744">+Q562/BK562</f>
        <v>5.4518890548909515E-2</v>
      </c>
      <c r="BN562" s="65">
        <f t="shared" ref="BN562" si="745">+BC562/BW562</f>
        <v>1137465.1537070523</v>
      </c>
      <c r="BO562" s="66"/>
      <c r="BP562" s="66">
        <f t="shared" ref="BP562" si="746">+BP561+BE562</f>
        <v>40431818</v>
      </c>
      <c r="BQ562" s="66"/>
      <c r="BR562" s="435">
        <f t="shared" ref="BR562" si="747">+BP562/BC562</f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8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ref="H563" si="748">+H562+D563</f>
        <v>41469803</v>
      </c>
      <c r="I563" s="16"/>
      <c r="J563" s="436">
        <f t="shared" ref="J563" si="749">+D563/H562</f>
        <v>3.1691053604947757E-3</v>
      </c>
      <c r="K563" s="16"/>
      <c r="L563" s="16"/>
      <c r="M563" s="16"/>
      <c r="N563" s="16">
        <f t="shared" ref="N563" si="750">SUM(D557:D563)</f>
        <v>699797</v>
      </c>
      <c r="O563" s="16">
        <f t="shared" ref="O563" si="751">+H563/BW563</f>
        <v>74855.24007220217</v>
      </c>
      <c r="P563" s="41"/>
      <c r="Q563" s="17">
        <f t="shared" ref="Q563" si="752">SUM(D557:D563)</f>
        <v>699797</v>
      </c>
      <c r="R563" s="16"/>
      <c r="S563" s="60">
        <f t="shared" ref="S563" si="753">+(Q563-Q556)/Q556</f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ref="Z563" si="754">SUM(W558:W563)</f>
        <v>9252</v>
      </c>
      <c r="AA563" s="33">
        <f t="shared" ref="AA563" si="755">+AA562+W563</f>
        <v>665249</v>
      </c>
      <c r="AB563" s="33"/>
      <c r="AC563" s="46">
        <f t="shared" ref="AC563" si="756">+AA563/H563</f>
        <v>1.6041768995140874E-2</v>
      </c>
      <c r="AD563" s="33"/>
      <c r="AE563" s="33">
        <f t="shared" ref="AE563" si="757">+AA563/BW563</f>
        <v>1200.8104693140795</v>
      </c>
      <c r="AF563" s="50"/>
      <c r="AG563" s="33">
        <f t="shared" ref="AG563" si="758">SUM(W557:W563)</f>
        <v>10101</v>
      </c>
      <c r="AH563" s="33">
        <f t="shared" ref="AH563" si="759">SUM(D534:D1021)</f>
        <v>1119679367.060914</v>
      </c>
      <c r="AI563" s="213">
        <f t="shared" ref="AI563" si="760">+(AG563-AG556)/AG556</f>
        <v>2.9663608562691131E-2</v>
      </c>
      <c r="AJ563" s="50"/>
      <c r="AK563" s="111"/>
      <c r="AL563" s="23">
        <f t="shared" ref="AL563" si="761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62">+AL563/AP562</f>
        <v>2.4056772627202212E-3</v>
      </c>
      <c r="AS563" s="25"/>
      <c r="AT563" s="25"/>
      <c r="AU563" s="24"/>
      <c r="AV563" s="298">
        <f t="shared" ref="AV563" si="763">+AP563/H563</f>
        <v>0.79848445385670141</v>
      </c>
      <c r="AW563" s="298"/>
      <c r="AX563" s="24">
        <f t="shared" ref="AX563" si="764">+AP563/BW563</f>
        <v>59770.74548736462</v>
      </c>
      <c r="AY563" s="308"/>
      <c r="AZ563" s="111"/>
      <c r="BA563" s="65">
        <f t="shared" ref="BA563" si="765">+BC563-BC562</f>
        <v>2139205</v>
      </c>
      <c r="BB563" s="66"/>
      <c r="BC563" s="66">
        <v>631157435</v>
      </c>
      <c r="BD563" s="66"/>
      <c r="BE563" s="66">
        <f t="shared" ref="BE563" si="766">+D563</f>
        <v>131007</v>
      </c>
      <c r="BF563" s="66"/>
      <c r="BG563" s="144">
        <f t="shared" ref="BG563" si="767">+BE563/BA563</f>
        <v>6.1240975035118189E-2</v>
      </c>
      <c r="BH563" s="66"/>
      <c r="BI563" s="170"/>
      <c r="BJ563" s="66"/>
      <c r="BK563" s="66">
        <f t="shared" ref="BK563" si="768">SUM(BA557:BA563)</f>
        <v>13332108</v>
      </c>
      <c r="BL563" s="66"/>
      <c r="BM563" s="144">
        <f t="shared" ref="BM563" si="769">+Q563/BK563</f>
        <v>5.2489598794129178E-2</v>
      </c>
      <c r="BN563" s="65">
        <f t="shared" ref="BN563" si="770">+BC563/BW563</f>
        <v>1139273.3483754513</v>
      </c>
      <c r="BO563" s="66"/>
      <c r="BP563" s="66">
        <f t="shared" ref="BP563" si="771">+BP562+BE563</f>
        <v>40562825</v>
      </c>
      <c r="BQ563" s="66"/>
      <c r="BR563" s="435">
        <f t="shared" ref="BR563" si="772">+BP563/BC563</f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8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ref="H564" si="773">+H563+D564</f>
        <v>41554582</v>
      </c>
      <c r="I564" s="16"/>
      <c r="J564" s="436">
        <f t="shared" ref="J564" si="774">+D564/H563</f>
        <v>2.0443550214116041E-3</v>
      </c>
      <c r="K564" s="16"/>
      <c r="L564" s="16"/>
      <c r="M564" s="16"/>
      <c r="N564" s="16">
        <f t="shared" ref="N564" si="775">SUM(D558:D564)</f>
        <v>720017</v>
      </c>
      <c r="O564" s="16">
        <f t="shared" ref="O564" si="776">+H564/BW564</f>
        <v>74873.120720720719</v>
      </c>
      <c r="P564" s="41"/>
      <c r="Q564" s="17">
        <f t="shared" ref="Q564" si="777">SUM(D558:D564)</f>
        <v>720017</v>
      </c>
      <c r="R564" s="16"/>
      <c r="S564" s="60">
        <f t="shared" ref="S564" si="778">+(Q564-Q557)/Q557</f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ref="Z564" si="779">SUM(W559:W564)</f>
        <v>10074</v>
      </c>
      <c r="AA564" s="33">
        <f t="shared" ref="AA564" si="780">+AA563+W564</f>
        <v>666444</v>
      </c>
      <c r="AB564" s="33"/>
      <c r="AC564" s="46">
        <f t="shared" ref="AC564" si="781">+AA564/H564</f>
        <v>1.6037798190341561E-2</v>
      </c>
      <c r="AD564" s="33"/>
      <c r="AE564" s="33">
        <f t="shared" ref="AE564" si="782">+AA564/BW564</f>
        <v>1200.8</v>
      </c>
      <c r="AF564" s="50"/>
      <c r="AG564" s="33">
        <f t="shared" ref="AG564" si="783">SUM(W558:W564)</f>
        <v>10447</v>
      </c>
      <c r="AH564" s="33">
        <f t="shared" ref="AH564" si="784">SUM(D535:D1022)</f>
        <v>1119502161.060914</v>
      </c>
      <c r="AI564" s="213">
        <f t="shared" ref="AI564" si="785">+(AG564-AG557)/AG557</f>
        <v>5.1006036217303825E-2</v>
      </c>
      <c r="AJ564" s="50"/>
      <c r="AK564" s="111"/>
      <c r="AL564" s="23">
        <f t="shared" ref="AL564" si="786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87">+AL564/AP563</f>
        <v>1.7407668343359961E-3</v>
      </c>
      <c r="AS564" s="25"/>
      <c r="AT564" s="25"/>
      <c r="AU564" s="24"/>
      <c r="AV564" s="298">
        <f t="shared" ref="AV564" si="788">+AP564/H564</f>
        <v>0.79824253797090294</v>
      </c>
      <c r="AW564" s="298"/>
      <c r="AX564" s="24">
        <f t="shared" ref="AX564" si="789">+AP564/BW564</f>
        <v>59766.909909909911</v>
      </c>
      <c r="AY564" s="308"/>
      <c r="AZ564" s="111"/>
      <c r="BA564" s="65">
        <f t="shared" ref="BA564" si="790">+BC564-BC563</f>
        <v>1512631</v>
      </c>
      <c r="BB564" s="66"/>
      <c r="BC564" s="66">
        <v>632670066</v>
      </c>
      <c r="BD564" s="66"/>
      <c r="BE564" s="66">
        <f t="shared" ref="BE564" si="791">+D564</f>
        <v>84779</v>
      </c>
      <c r="BF564" s="66"/>
      <c r="BG564" s="144">
        <f t="shared" ref="BG564" si="792">+BE564/BA564</f>
        <v>5.6047377053623788E-2</v>
      </c>
      <c r="BH564" s="66"/>
      <c r="BI564" s="170"/>
      <c r="BJ564" s="66"/>
      <c r="BK564" s="66">
        <f t="shared" ref="BK564" si="793">SUM(BA558:BA564)</f>
        <v>13683009</v>
      </c>
      <c r="BL564" s="66"/>
      <c r="BM564" s="144">
        <f t="shared" ref="BM564" si="794">+Q564/BK564</f>
        <v>5.262124727097673E-2</v>
      </c>
      <c r="BN564" s="65">
        <f t="shared" ref="BN564" si="795">+BC564/BW564</f>
        <v>1139946.0648648648</v>
      </c>
      <c r="BO564" s="66"/>
      <c r="BP564" s="66">
        <f t="shared" ref="BP564" si="796">+BP563+BE564</f>
        <v>40647604</v>
      </c>
      <c r="BQ564" s="66"/>
      <c r="BR564" s="435">
        <f t="shared" ref="BR564" si="797">+BP564/BC564</f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8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ref="H565" si="798">+H564+D565</f>
        <v>41613204</v>
      </c>
      <c r="I565" s="16"/>
      <c r="J565" s="436">
        <f t="shared" ref="J565" si="799">+D565/H564</f>
        <v>1.4107228897164699E-3</v>
      </c>
      <c r="K565" s="16"/>
      <c r="L565" s="16"/>
      <c r="M565" s="16"/>
      <c r="N565" s="16">
        <f t="shared" ref="N565" si="800">SUM(D559:D565)</f>
        <v>742142</v>
      </c>
      <c r="O565" s="16">
        <f t="shared" ref="O565" si="801">+H565/BW565</f>
        <v>74843.892086330932</v>
      </c>
      <c r="P565" s="41"/>
      <c r="Q565" s="17">
        <f t="shared" ref="Q565" si="802">SUM(D559:D565)</f>
        <v>742142</v>
      </c>
      <c r="R565" s="16"/>
      <c r="S565" s="60">
        <f t="shared" ref="S565" si="803">+(Q565-Q558)/Q558</f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ref="Z565" si="804">SUM(W560:W565)</f>
        <v>9914</v>
      </c>
      <c r="AA565" s="33">
        <f t="shared" ref="AA565" si="805">+AA564+W565</f>
        <v>667030</v>
      </c>
      <c r="AB565" s="33"/>
      <c r="AC565" s="46">
        <f t="shared" ref="AC565" si="806">+AA565/H565</f>
        <v>1.60292872425781E-2</v>
      </c>
      <c r="AD565" s="33"/>
      <c r="AE565" s="33">
        <f t="shared" ref="AE565" si="807">+AA565/BW565</f>
        <v>1199.6942446043165</v>
      </c>
      <c r="AF565" s="50"/>
      <c r="AG565" s="33">
        <f t="shared" ref="AG565" si="808">SUM(W559:W565)</f>
        <v>10660</v>
      </c>
      <c r="AH565" s="33">
        <f t="shared" ref="AH565" si="809">SUM(D536:D1023)</f>
        <v>1119311791.060914</v>
      </c>
      <c r="AI565" s="213">
        <f t="shared" ref="AI565" si="810">+(AG565-AG558)/AG558</f>
        <v>5.9431524547803614E-2</v>
      </c>
      <c r="AJ565" s="50"/>
      <c r="AK565" s="111"/>
      <c r="AL565" s="23">
        <f t="shared" ref="AL565" si="811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812">+AL565/AP564</f>
        <v>1.0543060149436391E-3</v>
      </c>
      <c r="AS565" s="25"/>
      <c r="AT565" s="25"/>
      <c r="AU565" s="24"/>
      <c r="AV565" s="298">
        <f t="shared" ref="AV565" si="813">+AP565/H565</f>
        <v>0.79795843165549085</v>
      </c>
      <c r="AW565" s="298"/>
      <c r="AX565" s="24">
        <f t="shared" ref="AX565" si="814">+AP565/BW565</f>
        <v>59722.314748201439</v>
      </c>
      <c r="AY565" s="308"/>
      <c r="AZ565" s="111"/>
      <c r="BA565" s="65">
        <f t="shared" ref="BA565" si="815">+BC565-BC564</f>
        <v>1143749</v>
      </c>
      <c r="BB565" s="66"/>
      <c r="BC565" s="66">
        <v>633813815</v>
      </c>
      <c r="BD565" s="66"/>
      <c r="BE565" s="66">
        <f t="shared" ref="BE565" si="816">+D565</f>
        <v>58622</v>
      </c>
      <c r="BF565" s="66"/>
      <c r="BG565" s="144">
        <f t="shared" ref="BG565" si="817">+BE565/BA565</f>
        <v>5.1254252462734393E-2</v>
      </c>
      <c r="BH565" s="66"/>
      <c r="BI565" s="170"/>
      <c r="BJ565" s="66"/>
      <c r="BK565" s="66">
        <f t="shared" ref="BK565" si="818">SUM(BA559:BA565)</f>
        <v>13888514</v>
      </c>
      <c r="BL565" s="66"/>
      <c r="BM565" s="144">
        <f t="shared" ref="BM565" si="819">+Q565/BK565</f>
        <v>5.3435666335505727E-2</v>
      </c>
      <c r="BN565" s="65">
        <f t="shared" ref="BN565" si="820">+BC565/BW565</f>
        <v>1139952.904676259</v>
      </c>
      <c r="BO565" s="66"/>
      <c r="BP565" s="66">
        <f t="shared" ref="BP565" si="821">+BP564+BE565</f>
        <v>40706226</v>
      </c>
      <c r="BQ565" s="66"/>
      <c r="BR565" s="435">
        <f t="shared" ref="BR565" si="822">+BP565/BC565</f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85" x14ac:dyDescent="0.3">
      <c r="B566" s="158">
        <f t="shared" si="448"/>
        <v>44466</v>
      </c>
      <c r="C566" s="61"/>
      <c r="D566" s="17"/>
      <c r="E566" s="16"/>
      <c r="F566" s="16"/>
      <c r="G566" s="16"/>
      <c r="H566" s="16"/>
      <c r="I566" s="16"/>
      <c r="J566" s="436"/>
      <c r="K566" s="16"/>
      <c r="L566" s="16"/>
      <c r="M566" s="16"/>
      <c r="N566" s="16"/>
      <c r="O566" s="16"/>
      <c r="P566" s="41"/>
      <c r="Q566" s="17"/>
      <c r="R566" s="16"/>
      <c r="S566" s="60"/>
      <c r="T566" s="16"/>
      <c r="U566" s="41"/>
      <c r="V566" s="10"/>
      <c r="W566" s="34"/>
      <c r="X566" s="33"/>
      <c r="Y566" s="33"/>
      <c r="Z566" s="33"/>
      <c r="AA566" s="33"/>
      <c r="AB566" s="33"/>
      <c r="AC566" s="46"/>
      <c r="AD566" s="33"/>
      <c r="AE566" s="33"/>
      <c r="AF566" s="50"/>
      <c r="AG566" s="33"/>
      <c r="AH566" s="33"/>
      <c r="AI566" s="213"/>
      <c r="AJ566" s="50"/>
      <c r="AK566" s="111"/>
      <c r="AL566" s="23"/>
      <c r="AM566" s="24"/>
      <c r="AN566" s="24"/>
      <c r="AO566" s="24"/>
      <c r="AP566" s="24"/>
      <c r="AQ566" s="24"/>
      <c r="AR566" s="461"/>
      <c r="AS566" s="25"/>
      <c r="AT566" s="25"/>
      <c r="AU566" s="24"/>
      <c r="AV566" s="298"/>
      <c r="AW566" s="298"/>
      <c r="AX566" s="24"/>
      <c r="AY566" s="308"/>
      <c r="AZ566" s="111"/>
      <c r="BA566" s="65"/>
      <c r="BB566" s="66"/>
      <c r="BC566" s="66"/>
      <c r="BD566" s="66"/>
      <c r="BE566" s="66"/>
      <c r="BF566" s="66"/>
      <c r="BG566" s="144"/>
      <c r="BH566" s="66"/>
      <c r="BI566" s="170"/>
      <c r="BJ566" s="66"/>
      <c r="BK566" s="66"/>
      <c r="BL566" s="66"/>
      <c r="BM566" s="144"/>
      <c r="BN566" s="65"/>
      <c r="BO566" s="66"/>
      <c r="BP566" s="66"/>
      <c r="BQ566" s="66"/>
      <c r="BR566" s="435"/>
      <c r="BS566" s="66"/>
      <c r="BT566" s="75"/>
      <c r="BU566" s="170"/>
      <c r="BV566" s="1"/>
      <c r="BW566" s="61"/>
    </row>
    <row r="567" spans="2:85" x14ac:dyDescent="0.3">
      <c r="B567" s="158">
        <f t="shared" si="448"/>
        <v>44467</v>
      </c>
      <c r="C567" s="61"/>
      <c r="D567" s="17"/>
      <c r="E567" s="16"/>
      <c r="F567" s="16"/>
      <c r="G567" s="16"/>
      <c r="H567" s="16"/>
      <c r="I567" s="16"/>
      <c r="J567" s="436"/>
      <c r="K567" s="16"/>
      <c r="L567" s="16"/>
      <c r="M567" s="16"/>
      <c r="N567" s="16"/>
      <c r="O567" s="16"/>
      <c r="P567" s="41"/>
      <c r="Q567" s="17"/>
      <c r="R567" s="16"/>
      <c r="S567" s="60"/>
      <c r="T567" s="16"/>
      <c r="U567" s="41"/>
      <c r="V567" s="10"/>
      <c r="W567" s="34"/>
      <c r="X567" s="33"/>
      <c r="Y567" s="33"/>
      <c r="Z567" s="33"/>
      <c r="AA567" s="33"/>
      <c r="AB567" s="33"/>
      <c r="AC567" s="46"/>
      <c r="AD567" s="33"/>
      <c r="AE567" s="33"/>
      <c r="AF567" s="50"/>
      <c r="AG567" s="33"/>
      <c r="AH567" s="33"/>
      <c r="AI567" s="213"/>
      <c r="AJ567" s="50"/>
      <c r="AK567" s="111"/>
      <c r="AL567" s="23"/>
      <c r="AM567" s="24"/>
      <c r="AN567" s="24"/>
      <c r="AO567" s="24"/>
      <c r="AP567" s="24"/>
      <c r="AQ567" s="24"/>
      <c r="AR567" s="461"/>
      <c r="AS567" s="25"/>
      <c r="AT567" s="25"/>
      <c r="AU567" s="24"/>
      <c r="AV567" s="298"/>
      <c r="AW567" s="298"/>
      <c r="AX567" s="24"/>
      <c r="AY567" s="308"/>
      <c r="AZ567" s="111"/>
      <c r="BA567" s="65"/>
      <c r="BB567" s="66"/>
      <c r="BC567" s="66"/>
      <c r="BD567" s="66"/>
      <c r="BE567" s="66"/>
      <c r="BF567" s="66"/>
      <c r="BG567" s="144"/>
      <c r="BH567" s="66"/>
      <c r="BI567" s="170"/>
      <c r="BJ567" s="66"/>
      <c r="BK567" s="66"/>
      <c r="BL567" s="66"/>
      <c r="BM567" s="144"/>
      <c r="BN567" s="65"/>
      <c r="BO567" s="66"/>
      <c r="BP567" s="66"/>
      <c r="BQ567" s="66"/>
      <c r="BR567" s="435"/>
      <c r="BS567" s="66"/>
      <c r="BT567" s="75"/>
      <c r="BU567" s="170"/>
      <c r="BV567" s="1"/>
      <c r="BW567" s="61"/>
    </row>
    <row r="568" spans="2:85" x14ac:dyDescent="0.3">
      <c r="B568" s="158">
        <f t="shared" si="448"/>
        <v>44468</v>
      </c>
      <c r="C568" s="61"/>
      <c r="D568" s="17"/>
      <c r="E568" s="16"/>
      <c r="F568" s="16"/>
      <c r="G568" s="16"/>
      <c r="H568" s="16"/>
      <c r="I568" s="16"/>
      <c r="J568" s="436"/>
      <c r="K568" s="16"/>
      <c r="L568" s="16"/>
      <c r="M568" s="16"/>
      <c r="N568" s="16"/>
      <c r="O568" s="16"/>
      <c r="P568" s="41"/>
      <c r="Q568" s="17"/>
      <c r="R568" s="16"/>
      <c r="S568" s="60"/>
      <c r="T568" s="16"/>
      <c r="U568" s="41"/>
      <c r="V568" s="10"/>
      <c r="W568" s="34"/>
      <c r="X568" s="33"/>
      <c r="Y568" s="33"/>
      <c r="Z568" s="33"/>
      <c r="AA568" s="33"/>
      <c r="AB568" s="33"/>
      <c r="AC568" s="46"/>
      <c r="AD568" s="33"/>
      <c r="AE568" s="33"/>
      <c r="AF568" s="50"/>
      <c r="AG568" s="33"/>
      <c r="AH568" s="33"/>
      <c r="AI568" s="213"/>
      <c r="AJ568" s="50"/>
      <c r="AK568" s="111"/>
      <c r="AL568" s="23"/>
      <c r="AM568" s="24"/>
      <c r="AN568" s="24"/>
      <c r="AO568" s="24"/>
      <c r="AP568" s="24"/>
      <c r="AQ568" s="24"/>
      <c r="AR568" s="461"/>
      <c r="AS568" s="25"/>
      <c r="AT568" s="25"/>
      <c r="AU568" s="24"/>
      <c r="AV568" s="298"/>
      <c r="AW568" s="298"/>
      <c r="AX568" s="24"/>
      <c r="AY568" s="308"/>
      <c r="AZ568" s="111"/>
      <c r="BA568" s="65"/>
      <c r="BB568" s="66"/>
      <c r="BC568" s="66"/>
      <c r="BD568" s="66"/>
      <c r="BE568" s="66"/>
      <c r="BF568" s="66"/>
      <c r="BG568" s="144"/>
      <c r="BH568" s="66"/>
      <c r="BI568" s="170"/>
      <c r="BJ568" s="66"/>
      <c r="BK568" s="66"/>
      <c r="BL568" s="66"/>
      <c r="BM568" s="144"/>
      <c r="BN568" s="65"/>
      <c r="BO568" s="66"/>
      <c r="BP568" s="66"/>
      <c r="BQ568" s="66"/>
      <c r="BR568" s="435"/>
      <c r="BS568" s="66"/>
      <c r="BT568" s="75"/>
      <c r="BU568" s="170"/>
      <c r="BV568" s="1"/>
      <c r="BW568" s="61"/>
    </row>
    <row r="569" spans="2:85" x14ac:dyDescent="0.3">
      <c r="B569" s="158">
        <f t="shared" si="448"/>
        <v>44469</v>
      </c>
      <c r="C569" s="61"/>
      <c r="D569" s="17"/>
      <c r="E569" s="16"/>
      <c r="F569" s="16"/>
      <c r="G569" s="16"/>
      <c r="H569" s="16"/>
      <c r="I569" s="16"/>
      <c r="J569" s="436"/>
      <c r="K569" s="16"/>
      <c r="L569" s="16"/>
      <c r="M569" s="16"/>
      <c r="N569" s="16"/>
      <c r="O569" s="16"/>
      <c r="P569" s="41"/>
      <c r="Q569" s="17"/>
      <c r="R569" s="16"/>
      <c r="S569" s="60"/>
      <c r="T569" s="16"/>
      <c r="U569" s="41"/>
      <c r="V569" s="10"/>
      <c r="W569" s="34"/>
      <c r="X569" s="33"/>
      <c r="Y569" s="33"/>
      <c r="Z569" s="33"/>
      <c r="AA569" s="33"/>
      <c r="AB569" s="33"/>
      <c r="AC569" s="46"/>
      <c r="AD569" s="33"/>
      <c r="AE569" s="33"/>
      <c r="AF569" s="50"/>
      <c r="AG569" s="33"/>
      <c r="AH569" s="33"/>
      <c r="AI569" s="213"/>
      <c r="AJ569" s="50"/>
      <c r="AK569" s="111"/>
      <c r="AL569" s="23"/>
      <c r="AM569" s="24"/>
      <c r="AN569" s="24"/>
      <c r="AO569" s="24"/>
      <c r="AP569" s="24"/>
      <c r="AQ569" s="24"/>
      <c r="AR569" s="461"/>
      <c r="AS569" s="25"/>
      <c r="AT569" s="25"/>
      <c r="AU569" s="24"/>
      <c r="AV569" s="298"/>
      <c r="AW569" s="298"/>
      <c r="AX569" s="24"/>
      <c r="AY569" s="308"/>
      <c r="AZ569" s="111"/>
      <c r="BA569" s="65"/>
      <c r="BB569" s="66"/>
      <c r="BC569" s="66"/>
      <c r="BD569" s="66"/>
      <c r="BE569" s="66"/>
      <c r="BF569" s="66"/>
      <c r="BG569" s="144"/>
      <c r="BH569" s="66"/>
      <c r="BI569" s="170"/>
      <c r="BJ569" s="66"/>
      <c r="BK569" s="66"/>
      <c r="BL569" s="66"/>
      <c r="BM569" s="144"/>
      <c r="BN569" s="65"/>
      <c r="BO569" s="66"/>
      <c r="BP569" s="66"/>
      <c r="BQ569" s="66"/>
      <c r="BR569" s="435"/>
      <c r="BS569" s="66"/>
      <c r="BT569" s="75"/>
      <c r="BU569" s="170"/>
      <c r="BV569" s="1"/>
      <c r="BW569" s="61"/>
    </row>
    <row r="570" spans="2:85" x14ac:dyDescent="0.3">
      <c r="B570" s="158">
        <f t="shared" si="448"/>
        <v>44470</v>
      </c>
      <c r="C570" s="61"/>
      <c r="D570" s="17"/>
      <c r="E570" s="16"/>
      <c r="F570" s="16"/>
      <c r="G570" s="16"/>
      <c r="H570" s="16"/>
      <c r="I570" s="16"/>
      <c r="J570" s="436"/>
      <c r="K570" s="16"/>
      <c r="L570" s="16"/>
      <c r="M570" s="16"/>
      <c r="N570" s="16"/>
      <c r="O570" s="16"/>
      <c r="P570" s="41"/>
      <c r="Q570" s="410"/>
      <c r="R570" s="16"/>
      <c r="S570" s="60"/>
      <c r="T570" s="16"/>
      <c r="U570" s="41"/>
      <c r="V570" s="10"/>
      <c r="W570" s="34"/>
      <c r="X570" s="33"/>
      <c r="Y570" s="33"/>
      <c r="Z570" s="33"/>
      <c r="AA570" s="33"/>
      <c r="AB570" s="33"/>
      <c r="AC570" s="46"/>
      <c r="AD570" s="33"/>
      <c r="AE570" s="33"/>
      <c r="AF570" s="50"/>
      <c r="AG570" s="33"/>
      <c r="AH570" s="33"/>
      <c r="AI570" s="213"/>
      <c r="AJ570" s="50"/>
      <c r="AK570" s="10"/>
      <c r="AL570" s="23"/>
      <c r="AM570" s="24"/>
      <c r="AN570" s="24"/>
      <c r="AO570" s="24"/>
      <c r="AP570" s="24"/>
      <c r="AQ570" s="24"/>
      <c r="AR570" s="461"/>
      <c r="AS570" s="25"/>
      <c r="AT570" s="25"/>
      <c r="AU570" s="24"/>
      <c r="AV570" s="298"/>
      <c r="AW570" s="298"/>
      <c r="AX570" s="24"/>
      <c r="AY570" s="308"/>
      <c r="AZ570" s="10"/>
      <c r="BA570" s="65"/>
      <c r="BB570" s="66"/>
      <c r="BC570" s="66"/>
      <c r="BD570" s="66"/>
      <c r="BE570" s="66"/>
      <c r="BF570" s="66"/>
      <c r="BG570" s="144"/>
      <c r="BH570" s="66"/>
      <c r="BI570" s="170"/>
      <c r="BJ570" s="66"/>
      <c r="BK570" s="66"/>
      <c r="BL570" s="66"/>
      <c r="BM570" s="144"/>
      <c r="BN570" s="65"/>
      <c r="BO570" s="66"/>
      <c r="BP570" s="66"/>
      <c r="BQ570" s="66"/>
      <c r="BR570" s="435"/>
      <c r="BS570" s="66"/>
      <c r="BT570" s="75"/>
      <c r="BU570" s="170"/>
      <c r="BV570" s="1"/>
      <c r="BW570" s="61"/>
    </row>
    <row r="571" spans="2:85" x14ac:dyDescent="0.3">
      <c r="B571" s="158">
        <f t="shared" si="448"/>
        <v>44471</v>
      </c>
      <c r="D571" s="559"/>
      <c r="E571" s="19"/>
      <c r="F571" s="19"/>
      <c r="G571" s="19"/>
      <c r="H571" s="19"/>
      <c r="I571" s="19"/>
      <c r="J571" s="39"/>
      <c r="K571" s="19"/>
      <c r="L571" s="19"/>
      <c r="M571" s="19"/>
      <c r="N571" s="19"/>
      <c r="O571" s="19"/>
      <c r="P571" s="43"/>
      <c r="Q571" s="18"/>
      <c r="R571" s="19"/>
      <c r="S571" s="19"/>
      <c r="T571" s="19"/>
      <c r="U571" s="43"/>
      <c r="V571" s="1"/>
      <c r="W571" s="35"/>
      <c r="X571" s="36"/>
      <c r="Y571" s="36"/>
      <c r="Z571" s="36"/>
      <c r="AA571" s="36"/>
      <c r="AB571" s="36"/>
      <c r="AC571" s="47"/>
      <c r="AD571" s="36"/>
      <c r="AE571" s="36"/>
      <c r="AF571" s="51"/>
      <c r="AG571" s="36"/>
      <c r="AH571" s="36"/>
      <c r="AI571" s="36"/>
      <c r="AJ571" s="51"/>
      <c r="AK571" s="1"/>
      <c r="AL571" s="26"/>
      <c r="AM571" s="27"/>
      <c r="AN571" s="27"/>
      <c r="AO571" s="27"/>
      <c r="AP571" s="27"/>
      <c r="AQ571" s="27"/>
      <c r="AR571" s="27"/>
      <c r="AS571" s="27"/>
      <c r="AT571" s="27"/>
      <c r="AU571" s="27"/>
      <c r="AV571" s="300"/>
      <c r="AW571" s="300"/>
      <c r="AX571" s="27"/>
      <c r="AY571" s="307"/>
      <c r="AZ571" s="1"/>
      <c r="BA571" s="67"/>
      <c r="BB571" s="68"/>
      <c r="BC571" s="68"/>
      <c r="BD571" s="68"/>
      <c r="BE571" s="68"/>
      <c r="BF571" s="68"/>
      <c r="BG571" s="68"/>
      <c r="BH571" s="68"/>
      <c r="BI571" s="171"/>
      <c r="BJ571" s="68"/>
      <c r="BK571" s="68"/>
      <c r="BL571" s="68"/>
      <c r="BM571" s="68"/>
      <c r="BN571" s="67"/>
      <c r="BO571" s="68"/>
      <c r="BP571" s="68"/>
      <c r="BQ571" s="68"/>
      <c r="BR571" s="70"/>
      <c r="BS571" s="68"/>
      <c r="BT571" s="68"/>
      <c r="BU571" s="171"/>
      <c r="BV571" s="1"/>
      <c r="BW571" s="61">
        <f>+BW461+1</f>
        <v>453</v>
      </c>
    </row>
    <row r="572" spans="2:85" x14ac:dyDescent="0.3">
      <c r="B572" s="56"/>
      <c r="D572" s="1"/>
      <c r="E572" s="1"/>
      <c r="F572" s="1"/>
      <c r="G572" s="1"/>
      <c r="H572" s="59"/>
      <c r="I572" s="1"/>
      <c r="J572" s="5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59"/>
      <c r="X572" s="1"/>
      <c r="Y572" s="1"/>
      <c r="Z572" s="1"/>
      <c r="AA572" s="1"/>
      <c r="AB572" s="1"/>
      <c r="AC572" s="59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59"/>
      <c r="BD572" s="1"/>
      <c r="BE572" s="59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</row>
    <row r="573" spans="2:85" x14ac:dyDescent="0.3">
      <c r="B573" s="166" t="s">
        <v>74</v>
      </c>
      <c r="D573" s="56">
        <f>+D565</f>
        <v>58622</v>
      </c>
      <c r="E573" s="56">
        <f>+E238</f>
        <v>0</v>
      </c>
      <c r="F573" s="56">
        <f>+F238</f>
        <v>0</v>
      </c>
      <c r="G573" s="56">
        <f>+G238</f>
        <v>0</v>
      </c>
      <c r="H573" s="56">
        <f t="shared" ref="H573:BP573" si="823">+H565</f>
        <v>41613204</v>
      </c>
      <c r="I573" s="56">
        <f t="shared" si="823"/>
        <v>0</v>
      </c>
      <c r="J573" s="56">
        <f t="shared" si="823"/>
        <v>1.4107228897164699E-3</v>
      </c>
      <c r="K573" s="56">
        <f t="shared" si="823"/>
        <v>0</v>
      </c>
      <c r="L573" s="56">
        <f t="shared" si="823"/>
        <v>0</v>
      </c>
      <c r="M573" s="56">
        <f t="shared" si="823"/>
        <v>0</v>
      </c>
      <c r="N573" s="56">
        <f t="shared" si="823"/>
        <v>742142</v>
      </c>
      <c r="O573" s="56">
        <f t="shared" si="823"/>
        <v>74843.892086330932</v>
      </c>
      <c r="P573" s="56">
        <f t="shared" si="823"/>
        <v>0</v>
      </c>
      <c r="Q573" s="56">
        <f t="shared" si="823"/>
        <v>742142</v>
      </c>
      <c r="R573" s="56">
        <f t="shared" si="823"/>
        <v>0</v>
      </c>
      <c r="S573" s="56">
        <f t="shared" si="823"/>
        <v>-0.10190789903600636</v>
      </c>
      <c r="T573" s="56">
        <f t="shared" si="823"/>
        <v>0</v>
      </c>
      <c r="U573" s="56">
        <f t="shared" si="823"/>
        <v>0</v>
      </c>
      <c r="V573" s="56">
        <f t="shared" si="823"/>
        <v>457</v>
      </c>
      <c r="W573" s="56">
        <f t="shared" si="823"/>
        <v>586</v>
      </c>
      <c r="X573" s="56">
        <f t="shared" si="823"/>
        <v>4256</v>
      </c>
      <c r="Y573" s="56">
        <f t="shared" si="823"/>
        <v>0</v>
      </c>
      <c r="Z573" s="56">
        <f t="shared" si="823"/>
        <v>9914</v>
      </c>
      <c r="AA573" s="56">
        <f t="shared" si="823"/>
        <v>667030</v>
      </c>
      <c r="AB573" s="56">
        <f t="shared" si="823"/>
        <v>0</v>
      </c>
      <c r="AC573" s="56">
        <f t="shared" si="823"/>
        <v>1.60292872425781E-2</v>
      </c>
      <c r="AD573" s="56">
        <f t="shared" si="823"/>
        <v>0</v>
      </c>
      <c r="AE573" s="56">
        <f t="shared" si="823"/>
        <v>1199.6942446043165</v>
      </c>
      <c r="AF573" s="56">
        <f t="shared" si="823"/>
        <v>0</v>
      </c>
      <c r="AG573" s="56">
        <f t="shared" si="823"/>
        <v>10660</v>
      </c>
      <c r="AH573" s="56">
        <f t="shared" si="823"/>
        <v>1119311791.060914</v>
      </c>
      <c r="AI573" s="56">
        <f t="shared" si="823"/>
        <v>5.9431524547803614E-2</v>
      </c>
      <c r="AJ573" s="56">
        <f t="shared" si="823"/>
        <v>0</v>
      </c>
      <c r="AK573" s="56">
        <f t="shared" si="823"/>
        <v>0</v>
      </c>
      <c r="AL573" s="56">
        <f t="shared" si="823"/>
        <v>34972</v>
      </c>
      <c r="AM573" s="56">
        <f t="shared" si="823"/>
        <v>0</v>
      </c>
      <c r="AN573" s="56">
        <f t="shared" si="823"/>
        <v>0</v>
      </c>
      <c r="AO573" s="56">
        <f t="shared" si="823"/>
        <v>178263</v>
      </c>
      <c r="AP573" s="56">
        <f t="shared" si="823"/>
        <v>33205607</v>
      </c>
      <c r="AQ573" s="56">
        <f t="shared" si="823"/>
        <v>20336656</v>
      </c>
      <c r="AR573" s="56">
        <f t="shared" si="823"/>
        <v>1.0543060149436391E-3</v>
      </c>
      <c r="AS573" s="56">
        <f t="shared" si="823"/>
        <v>0</v>
      </c>
      <c r="AT573" s="56">
        <f t="shared" si="823"/>
        <v>0</v>
      </c>
      <c r="AU573" s="56">
        <f t="shared" si="823"/>
        <v>0</v>
      </c>
      <c r="AV573" s="56">
        <f t="shared" si="823"/>
        <v>0.79795843165549085</v>
      </c>
      <c r="AW573" s="56">
        <f t="shared" si="823"/>
        <v>0</v>
      </c>
      <c r="AX573" s="56">
        <f t="shared" si="823"/>
        <v>59722.314748201439</v>
      </c>
      <c r="AY573" s="56">
        <f t="shared" si="823"/>
        <v>0</v>
      </c>
      <c r="AZ573" s="56">
        <f t="shared" si="823"/>
        <v>0</v>
      </c>
      <c r="BA573" s="56">
        <f t="shared" si="823"/>
        <v>1143749</v>
      </c>
      <c r="BB573" s="56">
        <f t="shared" si="823"/>
        <v>0</v>
      </c>
      <c r="BC573" s="56">
        <f t="shared" si="823"/>
        <v>633813815</v>
      </c>
      <c r="BD573" s="56">
        <f t="shared" si="823"/>
        <v>0</v>
      </c>
      <c r="BE573" s="56">
        <f t="shared" si="823"/>
        <v>58622</v>
      </c>
      <c r="BF573" s="56">
        <f t="shared" si="823"/>
        <v>0</v>
      </c>
      <c r="BG573" s="56">
        <f t="shared" si="823"/>
        <v>5.1254252462734393E-2</v>
      </c>
      <c r="BH573" s="56">
        <f t="shared" si="823"/>
        <v>0</v>
      </c>
      <c r="BI573" s="56">
        <f t="shared" si="823"/>
        <v>0</v>
      </c>
      <c r="BJ573" s="56">
        <f t="shared" si="823"/>
        <v>0</v>
      </c>
      <c r="BK573" s="56">
        <f t="shared" si="823"/>
        <v>13888514</v>
      </c>
      <c r="BL573" s="56">
        <f t="shared" si="823"/>
        <v>0</v>
      </c>
      <c r="BM573" s="56">
        <f t="shared" si="823"/>
        <v>5.3435666335505727E-2</v>
      </c>
      <c r="BN573" s="56">
        <f t="shared" si="823"/>
        <v>1139952.904676259</v>
      </c>
      <c r="BO573" s="56">
        <f t="shared" si="823"/>
        <v>0</v>
      </c>
      <c r="BP573" s="56">
        <f t="shared" si="823"/>
        <v>40706226</v>
      </c>
      <c r="BQ573" s="56">
        <f>+BQ530</f>
        <v>0</v>
      </c>
      <c r="BR573" s="56"/>
      <c r="BS573" s="56"/>
      <c r="BT573" s="56"/>
      <c r="BU573" s="56">
        <f>+BU509</f>
        <v>0</v>
      </c>
      <c r="BV573" s="56">
        <f>+BV505</f>
        <v>0</v>
      </c>
      <c r="BW573" s="56"/>
      <c r="BX573" s="56"/>
      <c r="BY573" s="56"/>
      <c r="BZ573" s="56"/>
      <c r="CA573" s="56"/>
      <c r="CB573" s="56"/>
      <c r="CC573" s="56"/>
      <c r="CD573" s="56"/>
      <c r="CE573" s="61"/>
      <c r="CF573" s="61"/>
      <c r="CG573" s="145"/>
    </row>
    <row r="574" spans="2:85" x14ac:dyDescent="0.3">
      <c r="B574" t="s">
        <v>105</v>
      </c>
      <c r="D574" s="56">
        <f>+D564-D573</f>
        <v>26157</v>
      </c>
      <c r="E574" s="56">
        <f>+E237-E573</f>
        <v>0</v>
      </c>
      <c r="F574" s="56">
        <f>+F237-F573</f>
        <v>0</v>
      </c>
      <c r="G574" s="56">
        <f>+G237-G573</f>
        <v>0</v>
      </c>
      <c r="H574" s="56">
        <f t="shared" ref="H574:BP574" si="824">+H564-H573</f>
        <v>-58622</v>
      </c>
      <c r="I574" s="56">
        <f t="shared" si="824"/>
        <v>0</v>
      </c>
      <c r="J574" s="56">
        <f t="shared" si="824"/>
        <v>6.3363213169513426E-4</v>
      </c>
      <c r="K574" s="56">
        <f t="shared" si="824"/>
        <v>0</v>
      </c>
      <c r="L574" s="56">
        <f t="shared" si="824"/>
        <v>0</v>
      </c>
      <c r="M574" s="56">
        <f t="shared" si="824"/>
        <v>0</v>
      </c>
      <c r="N574" s="56">
        <f t="shared" si="824"/>
        <v>-22125</v>
      </c>
      <c r="O574" s="56">
        <f t="shared" si="824"/>
        <v>29.228634389786748</v>
      </c>
      <c r="P574" s="56">
        <f t="shared" si="824"/>
        <v>0</v>
      </c>
      <c r="Q574" s="56">
        <f t="shared" si="824"/>
        <v>-22125</v>
      </c>
      <c r="R574" s="56">
        <f t="shared" si="824"/>
        <v>0</v>
      </c>
      <c r="S574" s="56">
        <f t="shared" si="824"/>
        <v>-2.5668869366539587E-2</v>
      </c>
      <c r="T574" s="56">
        <f t="shared" si="824"/>
        <v>0</v>
      </c>
      <c r="U574" s="56">
        <f t="shared" si="824"/>
        <v>0</v>
      </c>
      <c r="V574" s="56">
        <f t="shared" si="824"/>
        <v>-1</v>
      </c>
      <c r="W574" s="56">
        <f t="shared" si="824"/>
        <v>609</v>
      </c>
      <c r="X574" s="56">
        <f t="shared" si="824"/>
        <v>0</v>
      </c>
      <c r="Y574" s="56">
        <f t="shared" si="824"/>
        <v>0</v>
      </c>
      <c r="Z574" s="56">
        <f t="shared" si="824"/>
        <v>160</v>
      </c>
      <c r="AA574" s="56">
        <f t="shared" si="824"/>
        <v>-586</v>
      </c>
      <c r="AB574" s="56">
        <f t="shared" si="824"/>
        <v>0</v>
      </c>
      <c r="AC574" s="56">
        <f t="shared" si="824"/>
        <v>8.5109477634612296E-6</v>
      </c>
      <c r="AD574" s="56">
        <f t="shared" si="824"/>
        <v>0</v>
      </c>
      <c r="AE574" s="56">
        <f t="shared" si="824"/>
        <v>1.1057553956834454</v>
      </c>
      <c r="AF574" s="56">
        <f t="shared" si="824"/>
        <v>0</v>
      </c>
      <c r="AG574" s="56">
        <f t="shared" si="824"/>
        <v>-213</v>
      </c>
      <c r="AH574" s="56">
        <f t="shared" si="824"/>
        <v>190370</v>
      </c>
      <c r="AI574" s="56">
        <f t="shared" si="824"/>
        <v>-8.4254883304997891E-3</v>
      </c>
      <c r="AJ574" s="56">
        <f t="shared" si="824"/>
        <v>0</v>
      </c>
      <c r="AK574" s="56">
        <f t="shared" si="824"/>
        <v>0</v>
      </c>
      <c r="AL574" s="56">
        <f t="shared" si="824"/>
        <v>22670</v>
      </c>
      <c r="AM574" s="56">
        <f t="shared" si="824"/>
        <v>0</v>
      </c>
      <c r="AN574" s="56">
        <f t="shared" si="824"/>
        <v>0</v>
      </c>
      <c r="AO574" s="56">
        <f t="shared" si="824"/>
        <v>0</v>
      </c>
      <c r="AP574" s="56">
        <f t="shared" si="824"/>
        <v>-34972</v>
      </c>
      <c r="AQ574" s="56">
        <f t="shared" si="824"/>
        <v>0</v>
      </c>
      <c r="AR574" s="56">
        <f t="shared" si="824"/>
        <v>6.8646081939235698E-4</v>
      </c>
      <c r="AS574" s="56">
        <f t="shared" si="824"/>
        <v>0</v>
      </c>
      <c r="AT574" s="56">
        <f t="shared" si="824"/>
        <v>0</v>
      </c>
      <c r="AU574" s="56">
        <f t="shared" si="824"/>
        <v>0</v>
      </c>
      <c r="AV574" s="56">
        <f t="shared" si="824"/>
        <v>2.8410631541209153E-4</v>
      </c>
      <c r="AW574" s="56">
        <f t="shared" si="824"/>
        <v>0</v>
      </c>
      <c r="AX574" s="56">
        <f t="shared" si="824"/>
        <v>44.595161708472006</v>
      </c>
      <c r="AY574" s="56">
        <f t="shared" si="824"/>
        <v>0</v>
      </c>
      <c r="AZ574" s="56">
        <f t="shared" si="824"/>
        <v>0</v>
      </c>
      <c r="BA574" s="56">
        <f t="shared" si="824"/>
        <v>368882</v>
      </c>
      <c r="BB574" s="56">
        <f t="shared" si="824"/>
        <v>0</v>
      </c>
      <c r="BC574" s="56">
        <f t="shared" si="824"/>
        <v>-1143749</v>
      </c>
      <c r="BD574" s="56">
        <f t="shared" si="824"/>
        <v>0</v>
      </c>
      <c r="BE574" s="56">
        <f t="shared" si="824"/>
        <v>26157</v>
      </c>
      <c r="BF574" s="56">
        <f t="shared" si="824"/>
        <v>0</v>
      </c>
      <c r="BG574" s="56">
        <f t="shared" si="824"/>
        <v>4.7931245908893957E-3</v>
      </c>
      <c r="BH574" s="56">
        <f t="shared" si="824"/>
        <v>0</v>
      </c>
      <c r="BI574" s="56">
        <f t="shared" si="824"/>
        <v>0</v>
      </c>
      <c r="BJ574" s="56">
        <f t="shared" si="824"/>
        <v>0</v>
      </c>
      <c r="BK574" s="56">
        <f t="shared" si="824"/>
        <v>-205505</v>
      </c>
      <c r="BL574" s="56">
        <f t="shared" si="824"/>
        <v>0</v>
      </c>
      <c r="BM574" s="56">
        <f t="shared" si="824"/>
        <v>-8.1441906452899698E-4</v>
      </c>
      <c r="BN574" s="56">
        <f t="shared" si="824"/>
        <v>-6.8398113942239434</v>
      </c>
      <c r="BO574" s="56">
        <f t="shared" si="824"/>
        <v>0</v>
      </c>
      <c r="BP574" s="56">
        <f t="shared" si="824"/>
        <v>-58622</v>
      </c>
      <c r="BQ574" s="56">
        <f>+BQ529-BQ573</f>
        <v>0</v>
      </c>
      <c r="BR574" s="56"/>
      <c r="BS574" s="56"/>
      <c r="BT574" s="56"/>
      <c r="BU574" s="56">
        <f>+BU508-BU573</f>
        <v>0</v>
      </c>
      <c r="BV574" s="56">
        <f>+BV504-BV573</f>
        <v>0</v>
      </c>
      <c r="BW574" s="56"/>
      <c r="BX574" s="56"/>
      <c r="BY574" s="56"/>
      <c r="BZ574" s="56"/>
      <c r="CA574" s="56"/>
      <c r="CB574" s="56"/>
      <c r="CC574" s="56"/>
      <c r="CD574" s="56"/>
      <c r="CE574" s="61"/>
      <c r="CF574" s="61"/>
      <c r="CG574" s="105"/>
    </row>
    <row r="575" spans="2:85" x14ac:dyDescent="0.3">
      <c r="B575" s="56"/>
      <c r="D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10"/>
      <c r="BT575" s="10"/>
      <c r="BU575" s="10"/>
      <c r="BV575" s="10"/>
      <c r="BW575" s="10"/>
      <c r="BX575" s="10"/>
      <c r="BY575" s="10"/>
      <c r="BZ575" s="10"/>
      <c r="CA575" s="10"/>
      <c r="CB575" s="61"/>
      <c r="CC575" s="105"/>
      <c r="CD575" s="105"/>
      <c r="CE575" s="105"/>
      <c r="CF575" s="105"/>
    </row>
    <row r="576" spans="2:85" x14ac:dyDescent="0.3">
      <c r="B576" s="56"/>
      <c r="D576" s="56"/>
      <c r="H576" s="1"/>
      <c r="N576" s="145"/>
      <c r="O576" s="1"/>
      <c r="W576" s="56"/>
      <c r="AA576" s="59"/>
      <c r="BA576" s="59"/>
      <c r="BC576" s="56"/>
      <c r="BE576" s="59"/>
      <c r="BJ576" s="61"/>
      <c r="BK576" s="10">
        <f>+BK187</f>
        <v>4928581</v>
      </c>
      <c r="BL576" s="61"/>
      <c r="BM576" s="61"/>
      <c r="BN576" s="61"/>
      <c r="BO576" s="61"/>
      <c r="BP576" s="61"/>
      <c r="BQ576" s="61"/>
      <c r="BR576" s="61"/>
      <c r="BS576" s="10"/>
      <c r="BT576" s="10"/>
    </row>
    <row r="577" spans="2:72" x14ac:dyDescent="0.3">
      <c r="B577" s="56"/>
      <c r="D577" s="56"/>
      <c r="H577" s="56"/>
      <c r="N577" s="231"/>
      <c r="W577" s="56"/>
      <c r="AA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56"/>
      <c r="AU577" t="s">
        <v>161</v>
      </c>
      <c r="BC577" s="1"/>
      <c r="BE577" s="59"/>
      <c r="BH577" s="96"/>
      <c r="BI577" s="96"/>
      <c r="BJ577" s="96"/>
      <c r="BK577" s="493"/>
      <c r="BL577" s="96"/>
      <c r="BM577" s="96"/>
      <c r="BN577" s="96"/>
      <c r="BO577" s="96"/>
      <c r="BP577" s="96"/>
      <c r="BQ577" s="96"/>
      <c r="BR577" s="78"/>
      <c r="BS577" s="1"/>
      <c r="BT577" s="1"/>
    </row>
    <row r="578" spans="2:72" x14ac:dyDescent="0.3">
      <c r="D578" s="1"/>
      <c r="E578" s="111" t="s">
        <v>26</v>
      </c>
      <c r="F578" s="112"/>
      <c r="H578" s="112" t="s">
        <v>59</v>
      </c>
      <c r="I578" s="104"/>
      <c r="J578" s="104"/>
      <c r="K578" s="61"/>
      <c r="L578" s="10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BC578" s="56"/>
      <c r="BE578" s="59"/>
      <c r="BH578" s="96"/>
      <c r="BI578" s="96"/>
      <c r="BJ578" s="96"/>
      <c r="BK578" s="493">
        <f>+BK194-BK573</f>
        <v>-8125405</v>
      </c>
      <c r="BL578" s="96"/>
      <c r="BM578" s="96"/>
      <c r="BN578" s="96"/>
      <c r="BO578" s="96"/>
      <c r="BP578" s="96"/>
      <c r="BQ578" s="96"/>
      <c r="BR578" s="78"/>
      <c r="BS578" s="1"/>
      <c r="BT578" s="1"/>
    </row>
    <row r="579" spans="2:72" x14ac:dyDescent="0.3">
      <c r="B579" s="56"/>
      <c r="D579" s="1"/>
      <c r="E579" s="111" t="s">
        <v>38</v>
      </c>
      <c r="F579" s="112"/>
      <c r="H579" s="112" t="s">
        <v>40</v>
      </c>
      <c r="I579" s="10"/>
      <c r="J579" s="10"/>
      <c r="K579" s="61"/>
      <c r="L579" s="10"/>
      <c r="AD579" s="1"/>
      <c r="AE579" s="1"/>
      <c r="AF579" s="1"/>
      <c r="AG579" s="1"/>
      <c r="AH579" s="1"/>
      <c r="AI579" s="1">
        <f>SUM(W213:W243)</f>
        <v>25465</v>
      </c>
      <c r="AJ579" s="1"/>
      <c r="AK579" s="1"/>
      <c r="AL579" s="1" t="s">
        <v>17</v>
      </c>
      <c r="AM579" s="1"/>
      <c r="AN579" s="1"/>
      <c r="AO579" s="1"/>
      <c r="BC579" s="56"/>
      <c r="BE579" s="59"/>
      <c r="BH579" s="97"/>
      <c r="BI579" s="97"/>
      <c r="BJ579" s="97"/>
      <c r="BK579" s="493">
        <f>+BK187-BK573</f>
        <v>-8959933</v>
      </c>
      <c r="BL579" s="97"/>
      <c r="BM579" s="97"/>
      <c r="BN579" s="97"/>
      <c r="BO579" s="97"/>
      <c r="BP579" s="97"/>
      <c r="BQ579" s="97"/>
      <c r="BR579" s="78"/>
      <c r="BS579" s="1"/>
      <c r="BT579" s="1"/>
    </row>
    <row r="580" spans="2:72" x14ac:dyDescent="0.3">
      <c r="B580" s="231"/>
      <c r="D580" s="1"/>
      <c r="E580" s="111" t="s">
        <v>45</v>
      </c>
      <c r="F580" s="112"/>
      <c r="H580" s="112" t="s">
        <v>55</v>
      </c>
      <c r="I580" s="10"/>
      <c r="J580" s="10"/>
      <c r="K580" s="61"/>
      <c r="L580" s="10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BC580" s="56"/>
      <c r="BE580" s="59"/>
      <c r="BH580" s="97"/>
      <c r="BI580" s="97"/>
      <c r="BJ580" s="97"/>
      <c r="BK580" s="493"/>
      <c r="BL580" s="97"/>
      <c r="BM580" s="97"/>
      <c r="BN580" s="97"/>
      <c r="BO580" s="97"/>
      <c r="BP580" s="97"/>
      <c r="BQ580" s="97"/>
      <c r="BR580" s="78"/>
      <c r="BS580" s="1"/>
      <c r="BT580" s="1"/>
    </row>
    <row r="581" spans="2:72" x14ac:dyDescent="0.3">
      <c r="D581" s="1"/>
      <c r="E581" s="111" t="s">
        <v>60</v>
      </c>
      <c r="F581" s="61"/>
      <c r="H581" s="81" t="s">
        <v>135</v>
      </c>
      <c r="I581" s="61"/>
      <c r="J581" s="61"/>
      <c r="K581" s="61"/>
      <c r="L581" s="6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BH581" s="97"/>
      <c r="BI581" s="97"/>
      <c r="BJ581" s="97"/>
      <c r="BK581" s="496"/>
      <c r="BL581" s="97"/>
      <c r="BM581" s="97"/>
      <c r="BN581" s="97"/>
      <c r="BO581" s="97"/>
      <c r="BP581" s="97"/>
      <c r="BQ581" s="97"/>
      <c r="BR581" s="78"/>
      <c r="BS581" s="1"/>
      <c r="BT581" s="1"/>
    </row>
    <row r="582" spans="2:72" x14ac:dyDescent="0.3">
      <c r="E582" s="111" t="s">
        <v>136</v>
      </c>
      <c r="H582" s="81" t="s">
        <v>137</v>
      </c>
      <c r="AD582" s="1"/>
      <c r="AE582" s="1"/>
      <c r="AF582" s="1"/>
      <c r="AG582" s="1"/>
      <c r="AH582" s="1"/>
      <c r="AI582" s="1"/>
      <c r="BD582" s="78"/>
      <c r="BE582" s="78"/>
      <c r="BF582" s="78"/>
      <c r="BG582" s="78"/>
      <c r="BH582" s="78"/>
      <c r="BI582" s="78"/>
      <c r="BJ582" s="78"/>
      <c r="BK582" s="494"/>
      <c r="BL582" s="78"/>
      <c r="BM582" s="78"/>
      <c r="BN582" s="78"/>
      <c r="BO582" s="78"/>
      <c r="BP582" s="78"/>
      <c r="BQ582" s="78"/>
      <c r="BR582" s="78"/>
      <c r="BS582" s="1"/>
      <c r="BT582" s="1"/>
    </row>
    <row r="583" spans="2:72" x14ac:dyDescent="0.3">
      <c r="B583" s="56"/>
      <c r="AD583" s="1"/>
      <c r="AE583" s="1"/>
      <c r="AF583" s="1"/>
      <c r="AG583" s="1"/>
      <c r="AH583" s="1"/>
      <c r="AI583" s="1"/>
      <c r="BA583" s="545">
        <v>157602857</v>
      </c>
      <c r="BK583" s="495"/>
    </row>
    <row r="584" spans="2:72" ht="15" thickBot="1" x14ac:dyDescent="0.35">
      <c r="D584" s="56">
        <f>SUM(D363:D369)</f>
        <v>378583</v>
      </c>
      <c r="AD584" s="1"/>
      <c r="AE584" s="507"/>
      <c r="AF584" s="547"/>
      <c r="AG584" s="507"/>
      <c r="AH584" s="507"/>
      <c r="AI584" s="507"/>
      <c r="AJ584" s="500"/>
      <c r="AK584" s="500"/>
      <c r="AL584" s="500"/>
      <c r="AM584" s="500"/>
      <c r="AN584" s="500"/>
      <c r="AO584" s="500"/>
      <c r="AP584" s="500"/>
      <c r="AQ584" s="500"/>
      <c r="AR584" s="500"/>
      <c r="AS584" s="500"/>
      <c r="AT584" s="500"/>
      <c r="AU584" s="500"/>
      <c r="AV584" s="500"/>
      <c r="AW584" s="500"/>
      <c r="AX584" s="500"/>
      <c r="AZ584" s="106"/>
      <c r="BA584" s="106"/>
      <c r="BB584" s="106"/>
      <c r="BC584" s="106"/>
      <c r="BK584" s="1"/>
    </row>
    <row r="585" spans="2:72" x14ac:dyDescent="0.3">
      <c r="D585" s="531">
        <f>SUM(D356:D362)</f>
        <v>417052</v>
      </c>
      <c r="J585" s="486"/>
      <c r="V585" s="106"/>
      <c r="AA585" s="56"/>
      <c r="AD585" s="1"/>
      <c r="AE585" s="507"/>
      <c r="AF585" s="546"/>
      <c r="AG585" s="1"/>
      <c r="AH585" s="1"/>
      <c r="AI585" s="485"/>
      <c r="AJ585" s="464"/>
      <c r="AK585" s="465"/>
      <c r="AL585" s="465"/>
      <c r="AM585" s="465"/>
      <c r="AN585" s="465"/>
      <c r="AO585" s="465"/>
      <c r="AP585" s="465"/>
      <c r="AQ585" s="465"/>
      <c r="AR585" s="465"/>
      <c r="AS585" s="465"/>
      <c r="AT585" s="465"/>
      <c r="AU585" s="465"/>
      <c r="AV585" s="465"/>
      <c r="AW585" s="466"/>
      <c r="AX585" s="500"/>
      <c r="AZ585" s="106"/>
      <c r="BA585" s="77"/>
      <c r="BB585" s="106"/>
      <c r="BC585" s="106"/>
      <c r="BK585" s="56"/>
    </row>
    <row r="586" spans="2:72" x14ac:dyDescent="0.3">
      <c r="D586" s="1"/>
      <c r="J586" s="214"/>
      <c r="AD586" s="1"/>
      <c r="AE586" s="507"/>
      <c r="AF586" s="546"/>
      <c r="AG586" s="1"/>
      <c r="AH586" s="1"/>
      <c r="AI586" s="485"/>
      <c r="AJ586" s="467"/>
      <c r="AK586" s="589" t="s">
        <v>142</v>
      </c>
      <c r="AL586" s="589"/>
      <c r="AM586" s="589"/>
      <c r="AN586" s="589"/>
      <c r="AO586" s="589"/>
      <c r="AP586" s="589"/>
      <c r="AQ586" s="589"/>
      <c r="AR586" s="589"/>
      <c r="AS586" s="589"/>
      <c r="AT586" s="589"/>
      <c r="AU586" s="589"/>
      <c r="AV586" s="589"/>
      <c r="AW586" s="468"/>
      <c r="AX586" s="500"/>
      <c r="AZ586" s="106"/>
      <c r="BA586" s="106"/>
      <c r="BB586" s="106"/>
      <c r="BC586" s="106"/>
    </row>
    <row r="587" spans="2:72" ht="15.6" x14ac:dyDescent="0.3">
      <c r="D587" s="1">
        <v>331000000</v>
      </c>
      <c r="H587" s="235">
        <f>+H269/D587</f>
        <v>4.5635842900302113E-2</v>
      </c>
      <c r="J587" s="57"/>
      <c r="AD587" s="1"/>
      <c r="AE587" s="507"/>
      <c r="AF587" s="546"/>
      <c r="AG587" s="1"/>
      <c r="AH587" s="1"/>
      <c r="AI587" s="485"/>
      <c r="AJ587" s="467"/>
      <c r="AK587" s="589" t="s">
        <v>141</v>
      </c>
      <c r="AL587" s="589"/>
      <c r="AM587" s="589"/>
      <c r="AN587" s="589"/>
      <c r="AO587" s="473"/>
      <c r="AP587" s="474" t="s">
        <v>20</v>
      </c>
      <c r="AQ587" s="473"/>
      <c r="AR587" s="474" t="s">
        <v>4</v>
      </c>
      <c r="AS587" s="475"/>
      <c r="AT587" s="475"/>
      <c r="AU587" s="475"/>
      <c r="AV587" s="479" t="s">
        <v>10</v>
      </c>
      <c r="AW587" s="468"/>
      <c r="AX587" s="500"/>
      <c r="AZ587" s="106"/>
      <c r="BA587" s="106"/>
      <c r="BB587" s="106"/>
      <c r="BC587" s="106"/>
    </row>
    <row r="588" spans="2:72" ht="15.6" x14ac:dyDescent="0.3">
      <c r="H588" s="235">
        <f>+AA269/H269</f>
        <v>1.9000541790705667E-2</v>
      </c>
      <c r="AD588" s="1"/>
      <c r="AE588" s="507"/>
      <c r="AF588" s="546"/>
      <c r="AG588" s="1"/>
      <c r="AH588" s="1"/>
      <c r="AI588" s="485"/>
      <c r="AJ588" s="467"/>
      <c r="AK588" s="596" t="s">
        <v>138</v>
      </c>
      <c r="AL588" s="596"/>
      <c r="AM588" s="596"/>
      <c r="AN588" s="596"/>
      <c r="AO588" s="473"/>
      <c r="AP588" s="476">
        <f>+AH50</f>
        <v>898992</v>
      </c>
      <c r="AQ588" s="477"/>
      <c r="AR588" s="476">
        <f>+AH51</f>
        <v>55687</v>
      </c>
      <c r="AS588" s="478"/>
      <c r="AT588" s="478"/>
      <c r="AU588" s="478"/>
      <c r="AV588" s="491">
        <f t="shared" ref="AV588:AV594" si="825">+AR588/AP588</f>
        <v>6.194382152455194E-2</v>
      </c>
      <c r="AW588" s="468"/>
      <c r="AX588" s="500"/>
      <c r="AZ588" s="106"/>
      <c r="BA588" s="77"/>
      <c r="BB588" s="106"/>
      <c r="BC588" s="106"/>
    </row>
    <row r="589" spans="2:72" ht="15.6" x14ac:dyDescent="0.3">
      <c r="D589" s="235"/>
      <c r="AD589" s="1"/>
      <c r="AE589" s="507"/>
      <c r="AF589" s="546"/>
      <c r="AG589" s="1"/>
      <c r="AH589" s="1"/>
      <c r="AI589" s="485"/>
      <c r="AJ589" s="467"/>
      <c r="AK589" s="616" t="s">
        <v>139</v>
      </c>
      <c r="AL589" s="593"/>
      <c r="AM589" s="593"/>
      <c r="AN589" s="593"/>
      <c r="AO589" s="64"/>
      <c r="AP589" s="469">
        <f>+AG83</f>
        <v>742147</v>
      </c>
      <c r="AQ589" s="64"/>
      <c r="AR589" s="469">
        <f>+AG84</f>
        <v>42339</v>
      </c>
      <c r="AS589" s="64"/>
      <c r="AT589" s="64"/>
      <c r="AU589" s="64"/>
      <c r="AV589" s="489">
        <f t="shared" si="825"/>
        <v>5.7049344671608188E-2</v>
      </c>
      <c r="AW589" s="468"/>
      <c r="AX589" s="500"/>
      <c r="AZ589" s="106"/>
      <c r="BA589" s="77"/>
      <c r="BB589" s="106"/>
      <c r="BC589" s="106"/>
    </row>
    <row r="590" spans="2:72" ht="15.6" x14ac:dyDescent="0.3">
      <c r="AD590" s="1"/>
      <c r="AE590" s="507"/>
      <c r="AF590" s="546"/>
      <c r="AG590" s="1"/>
      <c r="AH590" s="1"/>
      <c r="AI590" s="485"/>
      <c r="AJ590" s="467"/>
      <c r="AK590" s="593" t="s">
        <v>140</v>
      </c>
      <c r="AL590" s="593"/>
      <c r="AM590" s="593"/>
      <c r="AN590" s="593"/>
      <c r="AO590" s="64"/>
      <c r="AP590" s="469">
        <f>+AH113</f>
        <v>869627</v>
      </c>
      <c r="AQ590" s="64"/>
      <c r="AR590" s="469">
        <f>+AH114</f>
        <v>21252</v>
      </c>
      <c r="AS590" s="64"/>
      <c r="AT590" s="64"/>
      <c r="AU590" s="64"/>
      <c r="AV590" s="489">
        <f t="shared" si="825"/>
        <v>2.4438063675575852E-2</v>
      </c>
      <c r="AW590" s="468"/>
      <c r="AX590" s="500"/>
      <c r="AZ590" s="106"/>
      <c r="BA590" s="106"/>
      <c r="BB590" s="106"/>
      <c r="BC590" s="106"/>
    </row>
    <row r="591" spans="2:72" ht="15.6" x14ac:dyDescent="0.3">
      <c r="D591" s="428"/>
      <c r="AD591" s="1"/>
      <c r="AE591" s="507"/>
      <c r="AF591" s="546"/>
      <c r="AG591" s="1"/>
      <c r="AH591" s="1"/>
      <c r="AI591" s="485"/>
      <c r="AJ591" s="467"/>
      <c r="AK591" s="593" t="s">
        <v>143</v>
      </c>
      <c r="AL591" s="593"/>
      <c r="AM591" s="593"/>
      <c r="AN591" s="593"/>
      <c r="AO591" s="64"/>
      <c r="AP591" s="469">
        <f>+AG597</f>
        <v>1970617</v>
      </c>
      <c r="AQ591" s="64"/>
      <c r="AR591" s="469">
        <f>+AG599</f>
        <v>25901</v>
      </c>
      <c r="AS591" s="64"/>
      <c r="AT591" s="64"/>
      <c r="AU591" s="64"/>
      <c r="AV591" s="489">
        <f t="shared" si="825"/>
        <v>1.3143599187462607E-2</v>
      </c>
      <c r="AW591" s="468"/>
      <c r="AX591" s="500"/>
    </row>
    <row r="592" spans="2:72" ht="15.6" x14ac:dyDescent="0.3">
      <c r="D592" s="428"/>
      <c r="AD592" s="1"/>
      <c r="AE592" s="507"/>
      <c r="AF592" s="546"/>
      <c r="AG592" s="1"/>
      <c r="AH592" s="1"/>
      <c r="AI592" s="485"/>
      <c r="AJ592" s="467"/>
      <c r="AK592" s="543"/>
      <c r="AL592" s="543" t="s">
        <v>151</v>
      </c>
      <c r="AM592" s="543"/>
      <c r="AN592" s="543"/>
      <c r="AO592" s="64"/>
      <c r="AP592" s="469">
        <f>SUM(D144:D174)</f>
        <v>1493931</v>
      </c>
      <c r="AQ592" s="64"/>
      <c r="AR592" s="469">
        <f>SUM(W144:W174)</f>
        <v>30354</v>
      </c>
      <c r="AS592" s="64"/>
      <c r="AT592" s="64"/>
      <c r="AU592" s="64"/>
      <c r="AV592" s="489">
        <f t="shared" si="825"/>
        <v>2.0318207467413155E-2</v>
      </c>
      <c r="AW592" s="468"/>
      <c r="AX592" s="500"/>
    </row>
    <row r="593" spans="2:87" ht="15.6" x14ac:dyDescent="0.3">
      <c r="D593" s="428"/>
      <c r="AD593" s="1"/>
      <c r="AE593" s="507"/>
      <c r="AF593" s="546"/>
      <c r="AG593" s="1"/>
      <c r="AH593" s="1"/>
      <c r="AI593" s="485"/>
      <c r="AJ593" s="467"/>
      <c r="AK593" s="543"/>
      <c r="AL593" s="543" t="s">
        <v>152</v>
      </c>
      <c r="AM593" s="543"/>
      <c r="AN593" s="543"/>
      <c r="AO593" s="64"/>
      <c r="AP593" s="469">
        <f>SUM(D175:D204)</f>
        <v>1202331</v>
      </c>
      <c r="AQ593" s="64"/>
      <c r="AR593" s="544">
        <f>SUM(W175:W204)</f>
        <v>24042</v>
      </c>
      <c r="AS593" s="64"/>
      <c r="AT593" s="64"/>
      <c r="AU593" s="64"/>
      <c r="AV593" s="489">
        <f t="shared" si="825"/>
        <v>1.9996157464125936E-2</v>
      </c>
      <c r="AW593" s="468"/>
      <c r="AX593" s="500"/>
    </row>
    <row r="594" spans="2:87" ht="15.6" x14ac:dyDescent="0.3">
      <c r="D594" s="428"/>
      <c r="AD594" s="1"/>
      <c r="AE594" s="507"/>
      <c r="AF594" s="546"/>
      <c r="AG594" s="1"/>
      <c r="AH594" s="1"/>
      <c r="AI594" s="485"/>
      <c r="AJ594" s="467"/>
      <c r="AK594" s="543"/>
      <c r="AL594" s="543" t="s">
        <v>153</v>
      </c>
      <c r="AM594" s="543"/>
      <c r="AN594" s="543"/>
      <c r="AO594" s="64"/>
      <c r="AP594" s="469">
        <f>SUM(D205:D230)</f>
        <v>1470960</v>
      </c>
      <c r="AQ594" s="64"/>
      <c r="AR594" s="469">
        <f>SUM(W205:W235)</f>
        <v>24156</v>
      </c>
      <c r="AS594" s="64"/>
      <c r="AT594" s="64"/>
      <c r="AU594" s="64"/>
      <c r="AV594" s="489">
        <f t="shared" si="825"/>
        <v>1.6421928536465982E-2</v>
      </c>
      <c r="AW594" s="468"/>
      <c r="AX594" s="500"/>
      <c r="BA594" s="486">
        <f>+AV588-AV594</f>
        <v>4.5521892988085955E-2</v>
      </c>
    </row>
    <row r="595" spans="2:87" ht="15" thickBot="1" x14ac:dyDescent="0.35">
      <c r="B595" s="427"/>
      <c r="D595" s="235"/>
      <c r="AD595" s="1"/>
      <c r="AE595" s="507"/>
      <c r="AF595" s="546"/>
      <c r="AG595" s="1"/>
      <c r="AH595" s="1"/>
      <c r="AI595" s="485"/>
      <c r="AJ595" s="467"/>
      <c r="AK595" s="480"/>
      <c r="AL595" s="480"/>
      <c r="AM595" s="480"/>
      <c r="AN595" s="480"/>
      <c r="AO595" s="481"/>
      <c r="AP595" s="482"/>
      <c r="AQ595" s="481"/>
      <c r="AR595" s="482"/>
      <c r="AS595" s="481"/>
      <c r="AT595" s="481"/>
      <c r="AU595" s="481"/>
      <c r="AV595" s="483"/>
      <c r="AW595" s="468"/>
      <c r="AX595" s="500"/>
      <c r="BA595">
        <f>+BA594/AV588</f>
        <v>0.73488996751747038</v>
      </c>
    </row>
    <row r="596" spans="2:87" ht="15.6" x14ac:dyDescent="0.3">
      <c r="B596" s="427"/>
      <c r="D596" s="235"/>
      <c r="AD596" s="1"/>
      <c r="AE596" s="507"/>
      <c r="AF596" s="546"/>
      <c r="AG596" s="1"/>
      <c r="AH596" s="1"/>
      <c r="AI596" s="485"/>
      <c r="AJ596" s="467"/>
      <c r="AK596" s="596" t="s">
        <v>138</v>
      </c>
      <c r="AL596" s="596"/>
      <c r="AM596" s="596"/>
      <c r="AN596" s="596"/>
      <c r="AO596" s="64"/>
      <c r="AP596" s="469"/>
      <c r="AQ596" s="64"/>
      <c r="AR596" s="469">
        <f>+AR588</f>
        <v>55687</v>
      </c>
      <c r="AS596" s="64"/>
      <c r="AT596" s="64"/>
      <c r="AU596" s="64"/>
      <c r="AV596" s="144"/>
      <c r="AW596" s="468"/>
      <c r="AX596" s="500"/>
    </row>
    <row r="597" spans="2:87" ht="15.6" x14ac:dyDescent="0.3">
      <c r="B597" s="427"/>
      <c r="D597" s="235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10"/>
      <c r="AE597" s="507"/>
      <c r="AF597" s="546"/>
      <c r="AG597" s="33">
        <f>SUM(D113:D143)</f>
        <v>1970617</v>
      </c>
      <c r="AH597" s="1"/>
      <c r="AI597" s="485"/>
      <c r="AJ597" s="467"/>
      <c r="AK597" s="600" t="s">
        <v>153</v>
      </c>
      <c r="AL597" s="600"/>
      <c r="AM597" s="600"/>
      <c r="AN597" s="600"/>
      <c r="AO597" s="64"/>
      <c r="AP597" s="469"/>
      <c r="AQ597" s="64"/>
      <c r="AR597" s="469">
        <f>+AR594</f>
        <v>24156</v>
      </c>
      <c r="AS597" s="64"/>
      <c r="AT597" s="64"/>
      <c r="AU597" s="64"/>
      <c r="AV597" s="144"/>
      <c r="AW597" s="468"/>
      <c r="AX597" s="500"/>
    </row>
    <row r="598" spans="2:87" ht="15.6" x14ac:dyDescent="0.3">
      <c r="B598" s="427"/>
      <c r="D598" s="235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10"/>
      <c r="AE598" s="507"/>
      <c r="AF598" s="546"/>
      <c r="AG598" s="33">
        <f>SUM(W125:W138)</f>
        <v>12117</v>
      </c>
      <c r="AH598" s="1"/>
      <c r="AI598" s="485"/>
      <c r="AJ598" s="467"/>
      <c r="AK598" s="63"/>
      <c r="AL598" s="497" t="s">
        <v>3</v>
      </c>
      <c r="AM598" s="63"/>
      <c r="AN598" s="63"/>
      <c r="AO598" s="64"/>
      <c r="AP598" s="469"/>
      <c r="AQ598" s="64"/>
      <c r="AR598" s="469">
        <f>+AR596-AR597</f>
        <v>31531</v>
      </c>
      <c r="AS598" s="64"/>
      <c r="AT598" s="64"/>
      <c r="AU598" s="64"/>
      <c r="AV598" s="484">
        <f>+AR598/AR596</f>
        <v>0.5662183274372834</v>
      </c>
      <c r="AW598" s="468"/>
      <c r="AX598" s="500"/>
    </row>
    <row r="599" spans="2:87" ht="15" thickBot="1" x14ac:dyDescent="0.35">
      <c r="D599" s="427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10"/>
      <c r="AE599" s="507"/>
      <c r="AF599" s="548"/>
      <c r="AG599" s="33">
        <f>SUM(W113:W143)</f>
        <v>25901</v>
      </c>
      <c r="AH599" s="1"/>
      <c r="AI599" s="485"/>
      <c r="AJ599" s="470"/>
      <c r="AK599" s="471"/>
      <c r="AL599" s="471"/>
      <c r="AM599" s="471"/>
      <c r="AN599" s="471"/>
      <c r="AO599" s="471"/>
      <c r="AP599" s="471"/>
      <c r="AQ599" s="471"/>
      <c r="AR599" s="471"/>
      <c r="AS599" s="471"/>
      <c r="AT599" s="471"/>
      <c r="AU599" s="471"/>
      <c r="AV599" s="471"/>
      <c r="AW599" s="472"/>
      <c r="AX599" s="500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1"/>
      <c r="BT599" s="1"/>
      <c r="BU599" s="1"/>
      <c r="BV599" s="1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</row>
    <row r="600" spans="2:87" x14ac:dyDescent="0.3"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10"/>
      <c r="AE600" s="507"/>
      <c r="AF600" s="507"/>
      <c r="AG600" s="507"/>
      <c r="AH600" s="507"/>
      <c r="AI600" s="507"/>
      <c r="AJ600" s="500"/>
      <c r="AK600" s="500"/>
      <c r="AL600" s="500"/>
      <c r="AM600" s="500"/>
      <c r="AN600" s="500"/>
      <c r="AO600" s="500"/>
      <c r="AP600" s="500"/>
      <c r="AQ600" s="500"/>
      <c r="AR600" s="500"/>
      <c r="AS600" s="500"/>
      <c r="AT600" s="500"/>
      <c r="AU600" s="500"/>
      <c r="AV600" s="500"/>
      <c r="AW600" s="500"/>
      <c r="AX600" s="500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77"/>
      <c r="BX600" s="77"/>
      <c r="BY600" s="77"/>
      <c r="BZ600" s="77"/>
      <c r="CA600" s="109"/>
      <c r="CB600" s="1"/>
      <c r="CC600" s="1"/>
      <c r="CD600" s="1"/>
      <c r="CE600" s="1"/>
      <c r="CF600" s="1"/>
      <c r="CG600" s="1"/>
      <c r="CH600" s="1"/>
      <c r="CI600" s="1"/>
    </row>
    <row r="601" spans="2:87" x14ac:dyDescent="0.3">
      <c r="D601">
        <v>10</v>
      </c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10"/>
      <c r="AE601" s="10"/>
      <c r="AF601" s="10"/>
      <c r="AG601" s="10"/>
      <c r="AH601" s="10"/>
      <c r="AI601" s="10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77"/>
      <c r="BX601" s="77"/>
      <c r="BY601" s="77"/>
      <c r="BZ601" s="77"/>
      <c r="CA601" s="77"/>
      <c r="CB601" s="1"/>
      <c r="CC601" s="1"/>
      <c r="CD601" s="1"/>
      <c r="CE601" s="1"/>
      <c r="CF601" s="1"/>
      <c r="CG601" s="1"/>
      <c r="CH601" s="1"/>
      <c r="CI601" s="1"/>
    </row>
    <row r="602" spans="2:87" x14ac:dyDescent="0.3">
      <c r="D602" s="1">
        <v>77000000</v>
      </c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10"/>
      <c r="AE602" s="10"/>
      <c r="AF602" s="10"/>
      <c r="AG602" s="10"/>
      <c r="AH602" s="10"/>
      <c r="AI602" s="10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77"/>
      <c r="BX602" s="77"/>
      <c r="BY602" s="77"/>
      <c r="BZ602" s="77"/>
      <c r="CA602" s="77"/>
      <c r="CB602" s="1"/>
      <c r="CC602" s="1"/>
      <c r="CD602" s="1"/>
      <c r="CE602" s="1"/>
      <c r="CF602" s="1"/>
      <c r="CG602" s="1"/>
    </row>
    <row r="603" spans="2:87" x14ac:dyDescent="0.3">
      <c r="D603" s="57">
        <f>+D602/D605</f>
        <v>0.23262839879154079</v>
      </c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10"/>
      <c r="AE603" s="10"/>
      <c r="AF603" s="10"/>
      <c r="AG603" s="501"/>
      <c r="AH603" s="10"/>
      <c r="AI603" s="10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77"/>
      <c r="BX603" s="77"/>
      <c r="BY603" s="77"/>
      <c r="BZ603" s="77"/>
      <c r="CA603" s="77"/>
      <c r="CB603" s="1"/>
      <c r="CC603" s="1"/>
      <c r="CD603" s="1"/>
      <c r="CE603" s="1"/>
      <c r="CF603" s="1"/>
      <c r="CG603" s="1"/>
    </row>
    <row r="604" spans="2:87" x14ac:dyDescent="0.3"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10"/>
      <c r="AE604" s="10"/>
      <c r="AF604" s="507"/>
      <c r="AG604" s="526"/>
      <c r="AH604" s="507"/>
      <c r="AI604" s="507"/>
      <c r="AJ604" s="500"/>
      <c r="AK604" s="500"/>
      <c r="AL604" s="500"/>
      <c r="AM604" s="500"/>
      <c r="AN604" s="500"/>
      <c r="AO604" s="500"/>
      <c r="AP604" s="500"/>
      <c r="AQ604" s="500"/>
      <c r="AR604" s="500"/>
      <c r="AS604" s="500"/>
      <c r="AT604" s="500"/>
      <c r="AU604" s="500"/>
      <c r="AV604" s="500"/>
      <c r="AW604" s="500"/>
      <c r="AX604" s="500"/>
      <c r="AY604" s="500"/>
      <c r="AZ604" s="500"/>
      <c r="BA604" s="500"/>
      <c r="BB604" s="500"/>
      <c r="BC604" s="500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77"/>
      <c r="BX604" s="77"/>
      <c r="BY604" s="110"/>
      <c r="BZ604" s="77"/>
      <c r="CA604" s="77"/>
    </row>
    <row r="605" spans="2:87" x14ac:dyDescent="0.3">
      <c r="D605" s="1">
        <v>331000000</v>
      </c>
      <c r="H605">
        <v>0.13400000000000001</v>
      </c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10"/>
      <c r="AE605" s="10"/>
      <c r="AF605" s="507"/>
      <c r="AG605" s="527"/>
      <c r="AH605" s="507"/>
      <c r="AI605" s="507"/>
      <c r="AJ605" s="524"/>
      <c r="AK605" s="524"/>
      <c r="AL605" s="525"/>
      <c r="AM605" s="525"/>
      <c r="AN605" s="525"/>
      <c r="AO605" s="525"/>
      <c r="AP605" s="525"/>
      <c r="AQ605" s="525"/>
      <c r="AR605" s="525"/>
      <c r="AS605" s="525"/>
      <c r="AT605" s="525"/>
      <c r="AU605" s="525"/>
      <c r="AV605" s="525"/>
      <c r="AW605" s="525"/>
      <c r="AX605" s="525"/>
      <c r="AY605" s="525"/>
      <c r="AZ605" s="525"/>
      <c r="BA605" s="525"/>
      <c r="BB605" s="524"/>
      <c r="BC605" s="524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77"/>
      <c r="BX605" s="77"/>
      <c r="BY605" s="77"/>
      <c r="BZ605" s="77"/>
      <c r="CA605" s="77"/>
    </row>
    <row r="606" spans="2:87" x14ac:dyDescent="0.3">
      <c r="D606" s="1">
        <f>+D605*H605</f>
        <v>44354000</v>
      </c>
      <c r="H606" s="1">
        <f>+D606*0.001</f>
        <v>44354</v>
      </c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10"/>
      <c r="AE606" s="10"/>
      <c r="AF606" s="507"/>
      <c r="AG606" s="526"/>
      <c r="AH606" s="507"/>
      <c r="AI606" s="507"/>
      <c r="AJ606" s="524"/>
      <c r="AK606" s="524"/>
      <c r="AL606" s="138"/>
      <c r="AM606" s="138"/>
      <c r="AN606" s="138"/>
      <c r="AO606" s="138"/>
      <c r="AP606" s="138"/>
      <c r="AQ606" s="138"/>
      <c r="AR606" s="138"/>
      <c r="AS606" s="78"/>
      <c r="AT606" s="78"/>
      <c r="AU606" s="78"/>
      <c r="AV606" s="98"/>
      <c r="AW606" s="98"/>
      <c r="AX606" s="98"/>
      <c r="AY606" s="98"/>
      <c r="AZ606" s="524"/>
      <c r="BA606" s="524"/>
      <c r="BB606" s="530"/>
      <c r="BC606" s="524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77"/>
      <c r="BX606" s="77"/>
      <c r="BY606" s="77"/>
      <c r="BZ606" s="77"/>
      <c r="CA606" s="77"/>
    </row>
    <row r="607" spans="2:87" x14ac:dyDescent="0.3">
      <c r="D607" s="425">
        <v>7.1999999999999995E-2</v>
      </c>
      <c r="H607" s="1">
        <f>+AA204*H605</f>
        <v>28746.886000000002</v>
      </c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10"/>
      <c r="AE607" s="10"/>
      <c r="AF607" s="507"/>
      <c r="AG607" s="526">
        <v>44031</v>
      </c>
      <c r="AH607" s="507"/>
      <c r="AI607" s="507"/>
      <c r="AJ607" s="524"/>
      <c r="AK607" s="524"/>
      <c r="AL607" s="138"/>
      <c r="AM607" s="138"/>
      <c r="AN607" s="138"/>
      <c r="AO607" s="138"/>
      <c r="AP607" s="138"/>
      <c r="AQ607" s="138"/>
      <c r="AR607" s="138"/>
      <c r="AS607" s="138"/>
      <c r="AT607" s="98"/>
      <c r="AU607" s="78"/>
      <c r="AV607" s="98"/>
      <c r="AW607" s="98"/>
      <c r="AX607" s="98"/>
      <c r="AY607" s="98"/>
      <c r="AZ607" s="524"/>
      <c r="BA607" s="524"/>
      <c r="BB607" s="530"/>
      <c r="BC607" s="524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77"/>
      <c r="BX607" s="77"/>
      <c r="BY607" s="77"/>
      <c r="BZ607" s="77"/>
      <c r="CA607" s="77"/>
    </row>
    <row r="608" spans="2:87" x14ac:dyDescent="0.3"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10"/>
      <c r="AE608" s="10"/>
      <c r="AF608" s="507"/>
      <c r="AG608" s="526">
        <v>44038</v>
      </c>
      <c r="AH608" s="507"/>
      <c r="AI608" s="507"/>
      <c r="AJ608" s="524"/>
      <c r="AK608" s="524"/>
      <c r="AL608" s="78"/>
      <c r="AM608" s="78"/>
      <c r="AN608" s="139"/>
      <c r="AO608" s="139"/>
      <c r="AP608" s="139"/>
      <c r="AQ608" s="139"/>
      <c r="AR608" s="139"/>
      <c r="AS608" s="78"/>
      <c r="AT608" s="78"/>
      <c r="AU608" s="78"/>
      <c r="AV608" s="98"/>
      <c r="AW608" s="98"/>
      <c r="AX608" s="98"/>
      <c r="AY608" s="98"/>
      <c r="AZ608" s="524"/>
      <c r="BA608" s="524"/>
      <c r="BB608" s="530"/>
      <c r="BC608" s="524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77"/>
      <c r="BX608" s="77"/>
      <c r="BY608" s="77"/>
      <c r="BZ608" s="77"/>
      <c r="CA608" s="77"/>
    </row>
    <row r="609" spans="2:79" x14ac:dyDescent="0.3">
      <c r="D609" s="235">
        <v>4.2000000000000003E-2</v>
      </c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10"/>
      <c r="AE609" s="10"/>
      <c r="AF609" s="507"/>
      <c r="AG609" s="526">
        <v>44045</v>
      </c>
      <c r="AH609" s="507"/>
      <c r="AI609" s="507"/>
      <c r="AJ609" s="524"/>
      <c r="AK609" s="524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98"/>
      <c r="AW609" s="98"/>
      <c r="AX609" s="98"/>
      <c r="AY609" s="98"/>
      <c r="AZ609" s="524"/>
      <c r="BA609" s="524"/>
      <c r="BB609" s="530"/>
      <c r="BC609" s="524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2:79" x14ac:dyDescent="0.3">
      <c r="D610" s="531">
        <f>+D605*D607*D609</f>
        <v>1000944.0000000001</v>
      </c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10"/>
      <c r="AE610" s="10"/>
      <c r="AF610" s="507"/>
      <c r="AG610" s="526">
        <v>44052</v>
      </c>
      <c r="AH610" s="507"/>
      <c r="AI610" s="507"/>
      <c r="AJ610" s="524"/>
      <c r="AK610" s="524"/>
      <c r="AL610" s="78"/>
      <c r="AM610" s="78"/>
      <c r="AN610" s="139"/>
      <c r="AO610" s="139"/>
      <c r="AP610" s="139"/>
      <c r="AQ610" s="139"/>
      <c r="AR610" s="139"/>
      <c r="AS610" s="139"/>
      <c r="AT610" s="139"/>
      <c r="AU610" s="78"/>
      <c r="AV610" s="98"/>
      <c r="AW610" s="98"/>
      <c r="AX610" s="98"/>
      <c r="AY610" s="98"/>
      <c r="AZ610" s="524"/>
      <c r="BA610" s="524"/>
      <c r="BB610" s="530"/>
      <c r="BC610" s="524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2:79" x14ac:dyDescent="0.3"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10"/>
      <c r="AE611" s="10"/>
      <c r="AF611" s="507"/>
      <c r="AG611" s="526"/>
      <c r="AH611" s="507"/>
      <c r="AI611" s="507"/>
      <c r="AJ611" s="524"/>
      <c r="AK611" s="524"/>
      <c r="AL611" s="78"/>
      <c r="AM611" s="78"/>
      <c r="AN611" s="139"/>
      <c r="AO611" s="139"/>
      <c r="AP611" s="139"/>
      <c r="AQ611" s="139"/>
      <c r="AR611" s="139"/>
      <c r="AS611" s="139"/>
      <c r="AT611" s="139"/>
      <c r="AU611" s="78"/>
      <c r="AV611" s="98"/>
      <c r="AW611" s="98"/>
      <c r="AX611" s="98"/>
      <c r="AY611" s="98"/>
      <c r="AZ611" s="524"/>
      <c r="BA611" s="524"/>
      <c r="BB611" s="530"/>
      <c r="BC611" s="524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2:79" x14ac:dyDescent="0.3"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10"/>
      <c r="AE612" s="10"/>
      <c r="AF612" s="507"/>
      <c r="AG612" s="526"/>
      <c r="AH612" s="507"/>
      <c r="AI612" s="507"/>
      <c r="AJ612" s="524"/>
      <c r="AK612" s="524"/>
      <c r="AL612" s="78"/>
      <c r="AM612" s="78"/>
      <c r="AN612" s="139"/>
      <c r="AO612" s="139"/>
      <c r="AP612" s="139"/>
      <c r="AQ612" s="139"/>
      <c r="AR612" s="139"/>
      <c r="AS612" s="139"/>
      <c r="AT612" s="139"/>
      <c r="AU612" s="78"/>
      <c r="AV612" s="98"/>
      <c r="AW612" s="98"/>
      <c r="AX612" s="98"/>
      <c r="AY612" s="98"/>
      <c r="AZ612" s="524"/>
      <c r="BA612" s="524"/>
      <c r="BB612" s="530"/>
      <c r="BC612" s="524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2:79" x14ac:dyDescent="0.3"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10"/>
      <c r="AE613" s="10"/>
      <c r="AF613" s="507"/>
      <c r="AG613" s="528"/>
      <c r="AH613" s="507"/>
      <c r="AI613" s="507"/>
      <c r="AJ613" s="524"/>
      <c r="AK613" s="524"/>
      <c r="AL613" s="78"/>
      <c r="AM613" s="78"/>
      <c r="AN613" s="139"/>
      <c r="AO613" s="139"/>
      <c r="AP613" s="139"/>
      <c r="AQ613" s="139"/>
      <c r="AR613" s="139"/>
      <c r="AS613" s="139"/>
      <c r="AT613" s="139"/>
      <c r="AU613" s="78"/>
      <c r="AV613" s="98"/>
      <c r="AW613" s="98"/>
      <c r="AX613" s="98"/>
      <c r="AY613" s="98"/>
      <c r="AZ613" s="524"/>
      <c r="BA613" s="524"/>
      <c r="BB613" s="530"/>
      <c r="BC613" s="524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2:79" x14ac:dyDescent="0.3"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10"/>
      <c r="AE614" s="10"/>
      <c r="AF614" s="507"/>
      <c r="AG614" s="507"/>
      <c r="AH614" s="507"/>
      <c r="AI614" s="507"/>
      <c r="AJ614" s="524"/>
      <c r="AK614" s="524"/>
      <c r="AL614" s="78"/>
      <c r="AM614" s="78"/>
      <c r="AN614" s="139"/>
      <c r="AO614" s="139"/>
      <c r="AP614" s="139"/>
      <c r="AQ614" s="139"/>
      <c r="AR614" s="139"/>
      <c r="AS614" s="139"/>
      <c r="AT614" s="139"/>
      <c r="AU614" s="78"/>
      <c r="AV614" s="98"/>
      <c r="AW614" s="98"/>
      <c r="AX614" s="98"/>
      <c r="AY614" s="98"/>
      <c r="AZ614" s="524"/>
      <c r="BA614" s="524"/>
      <c r="BB614" s="530"/>
      <c r="BC614" s="524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2:79" x14ac:dyDescent="0.3"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10"/>
      <c r="AE615" s="10"/>
      <c r="AF615" s="507"/>
      <c r="AG615" s="507"/>
      <c r="AH615" s="507"/>
      <c r="AI615" s="507"/>
      <c r="AJ615" s="524"/>
      <c r="AK615" s="524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78"/>
      <c r="AW615" s="78"/>
      <c r="AX615" s="78"/>
      <c r="AY615" s="78"/>
      <c r="AZ615" s="524"/>
      <c r="BA615" s="530"/>
      <c r="BB615" s="530"/>
      <c r="BC615" s="524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2:79" x14ac:dyDescent="0.3">
      <c r="AD616" s="10"/>
      <c r="AE616" s="10"/>
      <c r="AF616" s="507"/>
      <c r="AG616" s="507"/>
      <c r="AH616" s="507"/>
      <c r="AI616" s="507"/>
      <c r="AJ616" s="524"/>
      <c r="AK616" s="524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78"/>
      <c r="AW616" s="78"/>
      <c r="AX616" s="78"/>
      <c r="AY616" s="78"/>
      <c r="AZ616" s="524"/>
      <c r="BA616" s="530"/>
      <c r="BB616" s="530"/>
      <c r="BC616" s="524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2:79" ht="15" thickBot="1" x14ac:dyDescent="0.35"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AD617" s="10"/>
      <c r="AE617" s="10"/>
      <c r="AF617" s="507"/>
      <c r="AG617" s="507"/>
      <c r="AH617" s="507"/>
      <c r="AI617" s="507"/>
      <c r="AJ617" s="524"/>
      <c r="AK617" s="524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78"/>
      <c r="AW617" s="78"/>
      <c r="AX617" s="78"/>
      <c r="AY617" s="78"/>
      <c r="AZ617" s="524"/>
      <c r="BA617" s="530"/>
      <c r="BB617" s="530"/>
      <c r="BC617" s="524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2:79" x14ac:dyDescent="0.3">
      <c r="B618" s="500"/>
      <c r="C618" s="510"/>
      <c r="D618" s="357"/>
      <c r="E618" s="357"/>
      <c r="F618" s="357"/>
      <c r="G618" s="357"/>
      <c r="H618" s="357"/>
      <c r="I618" s="357"/>
      <c r="J618" s="357"/>
      <c r="K618" s="357"/>
      <c r="L618" s="357"/>
      <c r="M618" s="357"/>
      <c r="N618" s="357"/>
      <c r="O618" s="357"/>
      <c r="P618" s="511"/>
      <c r="V618" s="500"/>
      <c r="AD618" s="10"/>
      <c r="AE618" s="10"/>
      <c r="AF618" s="507"/>
      <c r="AG618" s="507"/>
      <c r="AH618" s="507"/>
      <c r="AI618" s="507"/>
      <c r="AJ618" s="524"/>
      <c r="AK618" s="524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78"/>
      <c r="AW618" s="78"/>
      <c r="AX618" s="78"/>
      <c r="AY618" s="78"/>
      <c r="AZ618" s="524"/>
      <c r="BA618" s="530"/>
      <c r="BB618" s="530"/>
      <c r="BC618" s="524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2:79" x14ac:dyDescent="0.3">
      <c r="B619" s="500"/>
      <c r="C619" s="512"/>
      <c r="D619" s="502" t="s">
        <v>149</v>
      </c>
      <c r="E619" s="387"/>
      <c r="F619" s="387"/>
      <c r="G619" s="387"/>
      <c r="H619" s="595" t="s">
        <v>20</v>
      </c>
      <c r="I619" s="595"/>
      <c r="J619" s="595"/>
      <c r="K619" s="387"/>
      <c r="L619" s="387"/>
      <c r="M619" s="387"/>
      <c r="N619" s="387"/>
      <c r="O619" s="387"/>
      <c r="P619" s="513"/>
      <c r="V619" s="500"/>
      <c r="AD619" s="10"/>
      <c r="AE619" s="10"/>
      <c r="AF619" s="507"/>
      <c r="AG619" s="507"/>
      <c r="AH619" s="507"/>
      <c r="AI619" s="507"/>
      <c r="AJ619" s="524"/>
      <c r="AK619" s="524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78"/>
      <c r="AW619" s="78"/>
      <c r="AX619" s="78"/>
      <c r="AY619" s="78"/>
      <c r="AZ619" s="524"/>
      <c r="BA619" s="530"/>
      <c r="BB619" s="530"/>
      <c r="BC619" s="524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2:79" x14ac:dyDescent="0.3">
      <c r="B620" s="500"/>
      <c r="C620" s="512"/>
      <c r="D620" s="514" t="s">
        <v>150</v>
      </c>
      <c r="E620" s="387"/>
      <c r="F620" s="387"/>
      <c r="G620" s="387"/>
      <c r="H620" s="515" t="s">
        <v>147</v>
      </c>
      <c r="I620" s="502"/>
      <c r="J620" s="516" t="s">
        <v>148</v>
      </c>
      <c r="K620" s="502"/>
      <c r="L620" s="502"/>
      <c r="M620" s="502"/>
      <c r="N620" s="502"/>
      <c r="O620" s="517" t="s">
        <v>3</v>
      </c>
      <c r="P620" s="513"/>
      <c r="V620" s="500"/>
      <c r="AD620" s="10"/>
      <c r="AE620" s="10"/>
      <c r="AF620" s="507"/>
      <c r="AG620" s="507"/>
      <c r="AH620" s="507"/>
      <c r="AI620" s="507"/>
      <c r="AJ620" s="524"/>
      <c r="AK620" s="524"/>
      <c r="AL620" s="529"/>
      <c r="AM620" s="529"/>
      <c r="AN620" s="529"/>
      <c r="AO620" s="529"/>
      <c r="AP620" s="529"/>
      <c r="AQ620" s="529"/>
      <c r="AR620" s="529"/>
      <c r="AS620" s="529"/>
      <c r="AT620" s="529"/>
      <c r="AU620" s="529"/>
      <c r="AV620" s="524"/>
      <c r="AW620" s="524"/>
      <c r="AX620" s="524"/>
      <c r="AY620" s="524"/>
      <c r="AZ620" s="524"/>
      <c r="BA620" s="530"/>
      <c r="BB620" s="530"/>
      <c r="BC620" s="524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2:79" x14ac:dyDescent="0.3">
      <c r="B621" s="500"/>
      <c r="C621" s="512"/>
      <c r="D621" s="503" t="s">
        <v>146</v>
      </c>
      <c r="E621" s="15"/>
      <c r="F621" s="15"/>
      <c r="G621" s="15"/>
      <c r="H621" s="518">
        <f>SUM(D133:D139)</f>
        <v>471981</v>
      </c>
      <c r="I621" s="15"/>
      <c r="J621" s="16">
        <f>+H621/7</f>
        <v>67425.857142857145</v>
      </c>
      <c r="K621" s="15"/>
      <c r="L621" s="15"/>
      <c r="M621" s="15"/>
      <c r="N621" s="15"/>
      <c r="O621" s="15"/>
      <c r="P621" s="513"/>
      <c r="V621" s="500"/>
      <c r="AD621" s="10"/>
      <c r="AE621" s="10"/>
      <c r="AF621" s="507"/>
      <c r="AG621" s="507"/>
      <c r="AH621" s="507"/>
      <c r="AI621" s="507"/>
      <c r="AJ621" s="524"/>
      <c r="AK621" s="524"/>
      <c r="AL621" s="529"/>
      <c r="AM621" s="529"/>
      <c r="AN621" s="529"/>
      <c r="AO621" s="529"/>
      <c r="AP621" s="529"/>
      <c r="AQ621" s="529"/>
      <c r="AR621" s="529"/>
      <c r="AS621" s="529"/>
      <c r="AT621" s="529"/>
      <c r="AU621" s="529"/>
      <c r="AV621" s="529"/>
      <c r="AW621" s="529"/>
      <c r="AX621" s="529"/>
      <c r="AY621" s="529"/>
      <c r="AZ621" s="524"/>
      <c r="BA621" s="524"/>
      <c r="BB621" s="530"/>
      <c r="BC621" s="524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2:79" x14ac:dyDescent="0.3">
      <c r="B622" s="500"/>
      <c r="C622" s="512"/>
      <c r="D622" s="503" t="s">
        <v>145</v>
      </c>
      <c r="E622" s="15"/>
      <c r="F622" s="15"/>
      <c r="G622" s="15"/>
      <c r="H622" s="16">
        <f>SUM(D140:D146)</f>
        <v>427527</v>
      </c>
      <c r="I622" s="15"/>
      <c r="J622" s="16">
        <f>+H622/7</f>
        <v>61075.285714285717</v>
      </c>
      <c r="K622" s="15"/>
      <c r="L622" s="15"/>
      <c r="M622" s="15"/>
      <c r="N622" s="15"/>
      <c r="O622" s="15"/>
      <c r="P622" s="513"/>
      <c r="V622" s="500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78"/>
      <c r="AU622" s="98"/>
      <c r="AV622" s="140"/>
      <c r="AW622" s="140"/>
      <c r="AX622" s="140"/>
      <c r="AY622" s="140"/>
      <c r="AZ622" s="98"/>
      <c r="BA622" s="98"/>
      <c r="BB622" s="98"/>
      <c r="BC622" s="98"/>
    </row>
    <row r="623" spans="2:79" x14ac:dyDescent="0.3">
      <c r="B623" s="506"/>
      <c r="C623" s="512"/>
      <c r="D623" s="503" t="s">
        <v>144</v>
      </c>
      <c r="E623" s="15"/>
      <c r="F623" s="15"/>
      <c r="G623" s="15"/>
      <c r="H623" s="16">
        <f>SUM(D147:D153)</f>
        <v>383516</v>
      </c>
      <c r="I623" s="15"/>
      <c r="J623" s="16">
        <f>+H623/7</f>
        <v>54788</v>
      </c>
      <c r="K623" s="15"/>
      <c r="L623" s="15"/>
      <c r="M623" s="15"/>
      <c r="N623" s="15"/>
      <c r="O623" s="518">
        <f>+H621-H623</f>
        <v>88465</v>
      </c>
      <c r="P623" s="513"/>
      <c r="V623" s="500"/>
      <c r="AA623">
        <f>+O623/7</f>
        <v>12637.857142857143</v>
      </c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78"/>
      <c r="AW623" s="78"/>
      <c r="AX623" s="78"/>
      <c r="AY623" s="78"/>
      <c r="AZ623" s="98"/>
      <c r="BA623" s="141"/>
      <c r="BB623" s="98"/>
      <c r="BC623" s="98"/>
    </row>
    <row r="624" spans="2:79" x14ac:dyDescent="0.3">
      <c r="B624" s="507"/>
      <c r="C624" s="512"/>
      <c r="D624" s="5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60">
        <f>+O623/H621</f>
        <v>0.18743339244588236</v>
      </c>
      <c r="P624" s="513"/>
      <c r="V624" s="500"/>
      <c r="X624" s="61"/>
      <c r="Y624" s="61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78">
        <v>480454</v>
      </c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</row>
    <row r="625" spans="2:61" ht="15" thickBot="1" x14ac:dyDescent="0.35">
      <c r="B625" s="507"/>
      <c r="C625" s="520"/>
      <c r="D625" s="521"/>
      <c r="E625" s="521"/>
      <c r="F625" s="521"/>
      <c r="G625" s="521"/>
      <c r="H625" s="521"/>
      <c r="I625" s="521"/>
      <c r="J625" s="522"/>
      <c r="K625" s="521"/>
      <c r="L625" s="521"/>
      <c r="M625" s="521"/>
      <c r="N625" s="521"/>
      <c r="O625" s="521"/>
      <c r="P625" s="523"/>
      <c r="V625" s="500"/>
      <c r="X625" s="61"/>
      <c r="Y625" s="61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140">
        <f>+N201</f>
        <v>290088</v>
      </c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</row>
    <row r="626" spans="2:61" x14ac:dyDescent="0.3">
      <c r="B626" s="507"/>
      <c r="C626" s="500"/>
      <c r="D626" s="508"/>
      <c r="E626" s="500"/>
      <c r="F626" s="500"/>
      <c r="G626" s="500"/>
      <c r="H626" s="509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X626" s="61"/>
      <c r="Y626" s="61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140">
        <f>+AP624-AP625</f>
        <v>190366</v>
      </c>
      <c r="AQ626" s="98"/>
      <c r="AR626" s="98"/>
    </row>
    <row r="627" spans="2:61" x14ac:dyDescent="0.3">
      <c r="B627" s="1"/>
      <c r="D627" s="55"/>
      <c r="X627" s="61"/>
      <c r="Y627" s="61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84">
        <f>+AP626/AP624</f>
        <v>0.3962210742339537</v>
      </c>
      <c r="AQ627" s="98"/>
      <c r="AR627" s="98"/>
    </row>
    <row r="628" spans="2:61" x14ac:dyDescent="0.3">
      <c r="B628" s="55"/>
      <c r="D628" s="55"/>
      <c r="J628" s="56">
        <f>+J621-J623</f>
        <v>12637.857142857145</v>
      </c>
      <c r="X628" s="61"/>
      <c r="Y628" s="61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8"/>
      <c r="AQ628" s="98"/>
      <c r="AR628" s="98"/>
    </row>
    <row r="629" spans="2:61" x14ac:dyDescent="0.3">
      <c r="B629" s="57"/>
      <c r="D629" s="55"/>
      <c r="X629" s="61"/>
      <c r="Y629" s="61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</row>
    <row r="630" spans="2:61" x14ac:dyDescent="0.3">
      <c r="B630" s="1"/>
      <c r="D630" s="55"/>
      <c r="X630" s="61"/>
      <c r="Y630" s="61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8"/>
      <c r="AQ630" s="98"/>
      <c r="AR630" s="98"/>
    </row>
    <row r="631" spans="2:61" x14ac:dyDescent="0.3">
      <c r="B631" s="1"/>
      <c r="D631" s="55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</row>
    <row r="632" spans="2:61" x14ac:dyDescent="0.3">
      <c r="B632" s="1"/>
      <c r="D632" s="55"/>
      <c r="AT632" s="500"/>
      <c r="AU632" s="500"/>
      <c r="AV632" s="500"/>
      <c r="AW632" s="500"/>
      <c r="AX632" s="500"/>
      <c r="AY632" s="500"/>
      <c r="AZ632" s="500"/>
      <c r="BA632" s="500"/>
      <c r="BB632" s="500"/>
      <c r="BC632" s="500"/>
      <c r="BD632" s="500"/>
      <c r="BE632" s="500"/>
      <c r="BF632" s="500"/>
      <c r="BG632" s="500"/>
      <c r="BH632" s="500"/>
      <c r="BI632" s="500"/>
    </row>
    <row r="633" spans="2:61" ht="15.6" x14ac:dyDescent="0.3">
      <c r="B633" s="1"/>
      <c r="D633" s="55"/>
      <c r="AT633" s="500"/>
      <c r="AU633" s="533"/>
      <c r="AV633" s="534"/>
      <c r="AW633" s="534"/>
      <c r="AX633" s="534"/>
      <c r="AY633" s="534"/>
      <c r="AZ633" s="534"/>
      <c r="BA633" s="534"/>
      <c r="BB633" s="534"/>
      <c r="BC633" s="534"/>
      <c r="BD633" s="534"/>
      <c r="BE633" s="534" t="s">
        <v>156</v>
      </c>
      <c r="BF633" s="534"/>
      <c r="BG633" s="534" t="s">
        <v>2</v>
      </c>
      <c r="BH633" s="533"/>
      <c r="BI633" s="500"/>
    </row>
    <row r="634" spans="2:61" ht="16.2" thickBot="1" x14ac:dyDescent="0.35">
      <c r="B634" s="57" t="e">
        <f>+B633/B632</f>
        <v>#DIV/0!</v>
      </c>
      <c r="D634" s="55"/>
      <c r="AT634" s="500"/>
      <c r="AU634" s="533"/>
      <c r="AV634" s="584" t="s">
        <v>155</v>
      </c>
      <c r="AW634" s="584"/>
      <c r="AX634" s="584"/>
      <c r="AY634" s="534"/>
      <c r="AZ634" s="534"/>
      <c r="BA634" s="535" t="s">
        <v>20</v>
      </c>
      <c r="BB634" s="534"/>
      <c r="BC634" s="535" t="s">
        <v>3</v>
      </c>
      <c r="BD634" s="534"/>
      <c r="BE634" s="535" t="s">
        <v>65</v>
      </c>
      <c r="BF634" s="534"/>
      <c r="BG634" s="535" t="s">
        <v>65</v>
      </c>
      <c r="BH634" s="533"/>
      <c r="BI634" s="500"/>
    </row>
    <row r="635" spans="2:61" ht="21" x14ac:dyDescent="0.4">
      <c r="B635" s="1"/>
      <c r="D635" s="55"/>
      <c r="AT635" s="500"/>
      <c r="AU635" s="533"/>
      <c r="AV635" s="536" t="s">
        <v>143</v>
      </c>
      <c r="AW635" s="533"/>
      <c r="AX635" s="537"/>
      <c r="AY635" s="533"/>
      <c r="AZ635" s="533"/>
      <c r="BA635" s="538">
        <f>+N143</f>
        <v>1970617</v>
      </c>
      <c r="BB635" s="537"/>
      <c r="BC635" s="537"/>
      <c r="BD635" s="537"/>
      <c r="BE635" s="537"/>
      <c r="BF635" s="537"/>
      <c r="BG635" s="537"/>
      <c r="BH635" s="533"/>
      <c r="BI635" s="500"/>
    </row>
    <row r="636" spans="2:61" ht="21" x14ac:dyDescent="0.4">
      <c r="B636" s="1"/>
      <c r="D636" s="55"/>
      <c r="AT636" s="500"/>
      <c r="AU636" s="533"/>
      <c r="AV636" s="536" t="s">
        <v>151</v>
      </c>
      <c r="AW636" s="533"/>
      <c r="AX636" s="537"/>
      <c r="AY636" s="533"/>
      <c r="AZ636" s="533"/>
      <c r="BA636" s="538">
        <f>+N174</f>
        <v>1493931</v>
      </c>
      <c r="BB636" s="537"/>
      <c r="BC636" s="538">
        <f>+BA636-BA635</f>
        <v>-476686</v>
      </c>
      <c r="BD636" s="537"/>
      <c r="BE636" s="539">
        <f>+BC636/BA635</f>
        <v>-0.24189682723735764</v>
      </c>
      <c r="BF636" s="537"/>
      <c r="BG636" s="537"/>
      <c r="BH636" s="533"/>
      <c r="BI636" s="500"/>
    </row>
    <row r="637" spans="2:61" ht="21" x14ac:dyDescent="0.4">
      <c r="B637" s="1">
        <f>+B633*50</f>
        <v>0</v>
      </c>
      <c r="D637" s="55"/>
      <c r="AT637" s="500"/>
      <c r="AU637" s="533"/>
      <c r="AV637" s="536" t="s">
        <v>152</v>
      </c>
      <c r="AW637" s="533"/>
      <c r="AX637" s="537"/>
      <c r="AY637" s="533"/>
      <c r="AZ637" s="533"/>
      <c r="BA637" s="538">
        <f>+N204</f>
        <v>1202331</v>
      </c>
      <c r="BB637" s="537"/>
      <c r="BC637" s="538">
        <f>+BA637-BA636</f>
        <v>-291600</v>
      </c>
      <c r="BD637" s="537"/>
      <c r="BE637" s="539">
        <f>+BC637/BA636</f>
        <v>-0.19518973767864781</v>
      </c>
      <c r="BF637" s="537"/>
      <c r="BG637" s="537"/>
      <c r="BH637" s="533"/>
      <c r="BI637" s="500"/>
    </row>
    <row r="638" spans="2:61" ht="21" x14ac:dyDescent="0.4">
      <c r="B638" s="1"/>
      <c r="D638" s="55"/>
      <c r="AT638" s="500"/>
      <c r="AU638" s="533"/>
      <c r="AV638" s="536" t="s">
        <v>153</v>
      </c>
      <c r="AW638" s="533"/>
      <c r="AX638" s="537"/>
      <c r="AY638" s="533"/>
      <c r="AZ638" s="540" t="s">
        <v>26</v>
      </c>
      <c r="BA638" s="538">
        <f>+N218</f>
        <v>371489</v>
      </c>
      <c r="BB638" s="537"/>
      <c r="BC638" s="538">
        <f>+BA638-BA637</f>
        <v>-830842</v>
      </c>
      <c r="BD638" s="537"/>
      <c r="BE638" s="539">
        <f>+BC638/BA637</f>
        <v>-0.69102601529861574</v>
      </c>
      <c r="BF638" s="537"/>
      <c r="BG638" s="539">
        <f>+(BA638-BA635)/BA635</f>
        <v>-0.81148594577231392</v>
      </c>
      <c r="BH638" s="533"/>
      <c r="BI638" s="500"/>
    </row>
    <row r="639" spans="2:61" x14ac:dyDescent="0.3">
      <c r="B639" s="1"/>
      <c r="D639" s="55"/>
      <c r="AT639" s="500"/>
      <c r="AU639" s="533"/>
      <c r="AV639" s="533"/>
      <c r="AW639" s="533"/>
      <c r="AX639" s="533"/>
      <c r="AY639" s="533"/>
      <c r="AZ639" s="533"/>
      <c r="BA639" s="533"/>
      <c r="BB639" s="533"/>
      <c r="BC639" s="533"/>
      <c r="BD639" s="533"/>
      <c r="BE639" s="533"/>
      <c r="BF639" s="533"/>
      <c r="BG639" s="533"/>
      <c r="BH639" s="533"/>
      <c r="BI639" s="500"/>
    </row>
    <row r="640" spans="2:61" ht="16.2" x14ac:dyDescent="0.3">
      <c r="B640" s="1"/>
      <c r="D640" s="55"/>
      <c r="AT640" s="500"/>
      <c r="AU640" s="533"/>
      <c r="AV640" s="533"/>
      <c r="AW640" s="533"/>
      <c r="AX640" s="541" t="s">
        <v>26</v>
      </c>
      <c r="AY640" s="533"/>
      <c r="AZ640" s="542" t="s">
        <v>154</v>
      </c>
      <c r="BA640" s="533"/>
      <c r="BB640" s="533"/>
      <c r="BC640" s="533"/>
      <c r="BD640" s="533"/>
      <c r="BE640" s="533"/>
      <c r="BF640" s="533"/>
      <c r="BG640" s="533"/>
      <c r="BH640" s="533"/>
      <c r="BI640" s="500"/>
    </row>
    <row r="641" spans="2:61" x14ac:dyDescent="0.3">
      <c r="B641" s="1"/>
      <c r="D641" s="55"/>
      <c r="AT641" s="500"/>
      <c r="AU641" s="533"/>
      <c r="AV641" s="533"/>
      <c r="AW641" s="533"/>
      <c r="AX641" s="533"/>
      <c r="AY641" s="533"/>
      <c r="AZ641" s="533"/>
      <c r="BA641" s="533"/>
      <c r="BB641" s="533"/>
      <c r="BC641" s="533"/>
      <c r="BD641" s="533"/>
      <c r="BE641" s="533"/>
      <c r="BF641" s="533"/>
      <c r="BG641" s="533"/>
      <c r="BH641" s="533"/>
      <c r="BI641" s="500"/>
    </row>
    <row r="642" spans="2:61" x14ac:dyDescent="0.3">
      <c r="B642" s="1"/>
      <c r="D642" s="55"/>
      <c r="AT642" s="532"/>
      <c r="AU642" s="532"/>
      <c r="AV642" s="532"/>
      <c r="AW642" s="532"/>
      <c r="AX642" s="532"/>
      <c r="AY642" s="532"/>
      <c r="AZ642" s="532"/>
      <c r="BA642" s="532"/>
      <c r="BB642" s="532"/>
      <c r="BC642" s="532"/>
      <c r="BD642" s="532"/>
      <c r="BE642" s="532"/>
      <c r="BF642" s="532"/>
      <c r="BG642" s="532"/>
      <c r="BH642" s="532"/>
      <c r="BI642" s="532"/>
    </row>
    <row r="643" spans="2:61" x14ac:dyDescent="0.3">
      <c r="B643" s="1"/>
      <c r="D643" s="55"/>
    </row>
    <row r="644" spans="2:61" x14ac:dyDescent="0.3">
      <c r="B644" s="1"/>
      <c r="D644" s="55"/>
      <c r="AS644" s="61"/>
      <c r="AT644" s="500"/>
      <c r="AU644" s="500"/>
      <c r="AV644" s="500"/>
      <c r="AW644" s="500"/>
      <c r="AX644" s="500"/>
      <c r="AY644" s="500"/>
      <c r="AZ644" s="500"/>
      <c r="BA644" s="500"/>
      <c r="BB644" s="500"/>
      <c r="BC644" s="500"/>
      <c r="BD644" s="500"/>
      <c r="BE644" s="500"/>
      <c r="BF644" s="500"/>
      <c r="BG644" s="500"/>
      <c r="BH644" s="500"/>
      <c r="BI644" s="500"/>
    </row>
    <row r="645" spans="2:61" x14ac:dyDescent="0.3">
      <c r="B645" s="1"/>
      <c r="D645" s="55"/>
      <c r="AT645" s="500"/>
      <c r="AU645" s="550"/>
      <c r="AV645" s="550"/>
      <c r="AW645" s="550"/>
      <c r="AX645" s="550"/>
      <c r="AY645" s="550"/>
      <c r="AZ645" s="550"/>
      <c r="BA645" s="550"/>
      <c r="BB645" s="550"/>
      <c r="BC645" s="550"/>
      <c r="BD645" s="550"/>
      <c r="BE645" s="550"/>
      <c r="BF645" s="550"/>
      <c r="BG645" s="550"/>
      <c r="BH645" s="550"/>
      <c r="BI645" s="500"/>
    </row>
    <row r="646" spans="2:61" ht="15" thickBot="1" x14ac:dyDescent="0.35">
      <c r="B646" s="1"/>
      <c r="D646" s="55"/>
      <c r="AT646" s="500"/>
      <c r="AU646" s="550"/>
      <c r="AV646" s="601" t="s">
        <v>160</v>
      </c>
      <c r="AW646" s="601"/>
      <c r="AX646" s="601"/>
      <c r="AY646" s="551"/>
      <c r="AZ646" s="551"/>
      <c r="BA646" s="552" t="s">
        <v>23</v>
      </c>
      <c r="BB646" s="553"/>
      <c r="BC646" s="552" t="s">
        <v>3</v>
      </c>
      <c r="BD646" s="553"/>
      <c r="BE646" s="552" t="s">
        <v>20</v>
      </c>
      <c r="BF646" s="553"/>
      <c r="BG646" s="552" t="s">
        <v>21</v>
      </c>
      <c r="BH646" s="550"/>
      <c r="BI646" s="500"/>
    </row>
    <row r="647" spans="2:61" x14ac:dyDescent="0.3">
      <c r="B647" s="1"/>
      <c r="AT647" s="500"/>
      <c r="AU647" s="550"/>
      <c r="AV647" s="551" t="s">
        <v>143</v>
      </c>
      <c r="AW647" s="551"/>
      <c r="AX647" s="551"/>
      <c r="AY647" s="551"/>
      <c r="AZ647" s="551"/>
      <c r="BA647" s="554">
        <f>+BK275</f>
        <v>13351981</v>
      </c>
      <c r="BB647" s="551"/>
      <c r="BC647" s="551"/>
      <c r="BD647" s="551"/>
      <c r="BE647" s="555">
        <f>+N143</f>
        <v>1970617</v>
      </c>
      <c r="BF647" s="551"/>
      <c r="BG647" s="556">
        <f>+BE647/BA647</f>
        <v>0.14758985951223269</v>
      </c>
      <c r="BH647" s="550"/>
      <c r="BI647" s="500"/>
    </row>
    <row r="648" spans="2:61" x14ac:dyDescent="0.3">
      <c r="B648" s="1"/>
      <c r="AT648" s="500"/>
      <c r="AU648" s="550"/>
      <c r="AV648" s="551"/>
      <c r="AW648" s="551"/>
      <c r="AX648" s="551"/>
      <c r="AY648" s="551"/>
      <c r="AZ648" s="551"/>
      <c r="BA648" s="554"/>
      <c r="BB648" s="551"/>
      <c r="BC648" s="551"/>
      <c r="BD648" s="551"/>
      <c r="BE648" s="551"/>
      <c r="BF648" s="551"/>
      <c r="BG648" s="556"/>
      <c r="BH648" s="550"/>
      <c r="BI648" s="500"/>
    </row>
    <row r="649" spans="2:61" x14ac:dyDescent="0.3">
      <c r="B649" s="1"/>
      <c r="AT649" s="500"/>
      <c r="AU649" s="550"/>
      <c r="AV649" s="551" t="s">
        <v>159</v>
      </c>
      <c r="AW649" s="551"/>
      <c r="AX649" s="551"/>
      <c r="AY649" s="551"/>
      <c r="AZ649" s="551"/>
      <c r="BA649" s="554">
        <v>52440389</v>
      </c>
      <c r="BB649" s="551"/>
      <c r="BC649" s="556">
        <f>+(BA649-BA647)/BA647</f>
        <v>2.9275362210296736</v>
      </c>
      <c r="BD649" s="551"/>
      <c r="BE649" s="555">
        <f>+N273</f>
        <v>1462688</v>
      </c>
      <c r="BF649" s="551"/>
      <c r="BG649" s="556">
        <f>+BE649/BA649</f>
        <v>2.7892394162064665E-2</v>
      </c>
      <c r="BH649" s="550"/>
      <c r="BI649" s="500"/>
    </row>
    <row r="650" spans="2:61" x14ac:dyDescent="0.3">
      <c r="B650" s="1"/>
      <c r="AT650" s="500"/>
      <c r="AU650" s="550"/>
      <c r="AV650" s="551"/>
      <c r="AW650" s="551"/>
      <c r="AX650" s="551"/>
      <c r="AY650" s="551"/>
      <c r="AZ650" s="551"/>
      <c r="BA650" s="554"/>
      <c r="BB650" s="551"/>
      <c r="BC650" s="551"/>
      <c r="BD650" s="551"/>
      <c r="BE650" s="551"/>
      <c r="BF650" s="551"/>
      <c r="BG650" s="551"/>
      <c r="BH650" s="550"/>
      <c r="BI650" s="500"/>
    </row>
    <row r="651" spans="2:61" x14ac:dyDescent="0.3">
      <c r="B651" s="1"/>
      <c r="AT651" s="500"/>
      <c r="AU651" s="550"/>
      <c r="AV651" s="581" t="s">
        <v>105</v>
      </c>
      <c r="AW651" s="581"/>
      <c r="AX651" s="581"/>
      <c r="AY651" s="581"/>
      <c r="AZ651" s="551"/>
      <c r="BA651" s="555">
        <f>+BA649-BA647</f>
        <v>39088408</v>
      </c>
      <c r="BB651" s="551"/>
      <c r="BC651" s="551"/>
      <c r="BD651" s="551"/>
      <c r="BE651" s="555">
        <f>+BE649-BE647</f>
        <v>-507929</v>
      </c>
      <c r="BF651" s="551"/>
      <c r="BG651" s="558"/>
      <c r="BH651" s="550"/>
      <c r="BI651" s="500"/>
    </row>
    <row r="652" spans="2:61" x14ac:dyDescent="0.3">
      <c r="B652" s="1"/>
      <c r="AT652" s="500"/>
      <c r="AU652" s="550"/>
      <c r="AV652" s="550"/>
      <c r="AW652" s="550"/>
      <c r="AX652" s="550"/>
      <c r="AY652" s="550"/>
      <c r="AZ652" s="550"/>
      <c r="BA652" s="550"/>
      <c r="BB652" s="550"/>
      <c r="BC652" s="550"/>
      <c r="BD652" s="550"/>
      <c r="BE652" s="550"/>
      <c r="BF652" s="550"/>
      <c r="BG652" s="550"/>
      <c r="BH652" s="550"/>
      <c r="BI652" s="500"/>
    </row>
    <row r="653" spans="2:61" x14ac:dyDescent="0.3">
      <c r="B653" s="1"/>
      <c r="AT653" s="500"/>
      <c r="AU653" s="500"/>
      <c r="AV653" s="500"/>
      <c r="AW653" s="500"/>
      <c r="AX653" s="500"/>
      <c r="AY653" s="500"/>
      <c r="AZ653" s="500"/>
      <c r="BA653" s="500"/>
      <c r="BB653" s="500"/>
      <c r="BC653" s="500"/>
      <c r="BD653" s="500"/>
      <c r="BE653" s="557"/>
      <c r="BF653" s="500"/>
      <c r="BG653" s="507"/>
      <c r="BH653" s="500"/>
      <c r="BI653" s="500"/>
    </row>
    <row r="654" spans="2:61" x14ac:dyDescent="0.3">
      <c r="B654" s="1"/>
    </row>
    <row r="655" spans="2:61" x14ac:dyDescent="0.3">
      <c r="B655" s="1"/>
    </row>
    <row r="656" spans="2:61" x14ac:dyDescent="0.3">
      <c r="B656" s="1"/>
      <c r="H656" s="1">
        <v>4000000</v>
      </c>
      <c r="AR656" s="500"/>
      <c r="AS656" s="500"/>
      <c r="AT656" s="500"/>
      <c r="AU656" s="500"/>
      <c r="AV656" s="500"/>
      <c r="AW656" s="500"/>
      <c r="AX656" s="500"/>
      <c r="AY656" s="500"/>
      <c r="AZ656" s="500"/>
      <c r="BA656" s="500"/>
      <c r="BB656" s="500"/>
      <c r="BC656" s="500"/>
      <c r="BD656" s="500"/>
      <c r="BE656" s="500"/>
      <c r="BF656" s="500"/>
      <c r="BG656" s="500"/>
      <c r="BH656" s="500"/>
      <c r="BI656" s="500"/>
    </row>
    <row r="657" spans="2:72" ht="15.6" x14ac:dyDescent="0.3">
      <c r="B657" s="1"/>
      <c r="H657" s="1"/>
      <c r="AR657" s="500"/>
      <c r="AS657" s="594" t="s">
        <v>170</v>
      </c>
      <c r="AT657" s="594"/>
      <c r="AU657" s="594"/>
      <c r="AV657" s="594"/>
      <c r="AW657" s="594"/>
      <c r="AX657" s="594"/>
      <c r="AY657" s="594"/>
      <c r="AZ657" s="594"/>
      <c r="BA657" s="594"/>
      <c r="BB657" s="594"/>
      <c r="BC657" s="594"/>
      <c r="BD657" s="594"/>
      <c r="BE657" s="594"/>
      <c r="BF657" s="594"/>
      <c r="BG657" s="594"/>
      <c r="BH657" s="594"/>
      <c r="BI657" s="500"/>
    </row>
    <row r="658" spans="2:72" x14ac:dyDescent="0.3">
      <c r="H658" s="1">
        <f>+H656/7</f>
        <v>571428.57142857148</v>
      </c>
      <c r="AR658" s="500"/>
      <c r="AS658" s="533"/>
      <c r="AT658" s="561"/>
      <c r="AU658" s="561"/>
      <c r="AV658" s="561"/>
      <c r="AW658" s="561"/>
      <c r="AX658" s="561"/>
      <c r="AY658" s="561"/>
      <c r="AZ658" s="561"/>
      <c r="BA658" s="561"/>
      <c r="BB658" s="561"/>
      <c r="BC658" s="561"/>
      <c r="BD658" s="561"/>
      <c r="BE658" s="582" t="s">
        <v>166</v>
      </c>
      <c r="BF658" s="561"/>
      <c r="BG658" s="590" t="s">
        <v>167</v>
      </c>
      <c r="BH658" s="533"/>
      <c r="BI658" s="500"/>
    </row>
    <row r="659" spans="2:72" x14ac:dyDescent="0.3">
      <c r="AR659" s="500"/>
      <c r="AS659" s="533"/>
      <c r="AT659" s="589" t="s">
        <v>19</v>
      </c>
      <c r="AU659" s="589"/>
      <c r="AV659" s="589"/>
      <c r="AW659" s="589"/>
      <c r="AX659" s="589"/>
      <c r="AY659" s="589"/>
      <c r="AZ659" s="561"/>
      <c r="BA659" s="560" t="s">
        <v>20</v>
      </c>
      <c r="BB659" s="561"/>
      <c r="BC659" s="560" t="s">
        <v>165</v>
      </c>
      <c r="BD659" s="561"/>
      <c r="BE659" s="583"/>
      <c r="BF659" s="561"/>
      <c r="BG659" s="586"/>
      <c r="BH659" s="533"/>
      <c r="BI659" s="500"/>
    </row>
    <row r="660" spans="2:72" x14ac:dyDescent="0.3">
      <c r="H660" t="s">
        <v>168</v>
      </c>
      <c r="J660">
        <v>28</v>
      </c>
      <c r="N660" s="1">
        <f>+H658*J660</f>
        <v>16000000.000000002</v>
      </c>
      <c r="AR660" s="500"/>
      <c r="AS660" s="533"/>
      <c r="AT660" s="588" t="s">
        <v>162</v>
      </c>
      <c r="AU660" s="588"/>
      <c r="AV660" s="588"/>
      <c r="AW660" s="588"/>
      <c r="AX660" s="588"/>
      <c r="AY660" s="561"/>
      <c r="AZ660" s="561"/>
      <c r="BA660" s="562">
        <f>+H174</f>
        <v>6826001</v>
      </c>
      <c r="BB660" s="561"/>
      <c r="BC660" s="561">
        <v>10</v>
      </c>
      <c r="BD660" s="561"/>
      <c r="BE660" s="563">
        <f>+BA660*BC660</f>
        <v>68260010</v>
      </c>
      <c r="BF660" s="561"/>
      <c r="BG660" s="561"/>
      <c r="BH660" s="533"/>
      <c r="BI660" s="500"/>
      <c r="BP660" s="56">
        <f>+BE660-BA660</f>
        <v>61434009</v>
      </c>
    </row>
    <row r="661" spans="2:72" x14ac:dyDescent="0.3">
      <c r="D661" s="56">
        <f>+N660+N661</f>
        <v>33714285.714285716</v>
      </c>
      <c r="H661" t="s">
        <v>169</v>
      </c>
      <c r="J661">
        <v>31</v>
      </c>
      <c r="N661" s="1">
        <f>+J661*H$658</f>
        <v>17714285.714285716</v>
      </c>
      <c r="AR661" s="500"/>
      <c r="AS661" s="533"/>
      <c r="AT661" s="588" t="s">
        <v>171</v>
      </c>
      <c r="AU661" s="588"/>
      <c r="AV661" s="588"/>
      <c r="AW661" s="588"/>
      <c r="AX661" s="588"/>
      <c r="AY661" s="561"/>
      <c r="AZ661" s="561"/>
      <c r="BA661" s="562">
        <f>+BA673-BA660</f>
        <v>3109228</v>
      </c>
      <c r="BB661" s="561"/>
      <c r="BC661" s="561">
        <v>5</v>
      </c>
      <c r="BD661" s="561"/>
      <c r="BE661" s="563">
        <f>+BA661*BC661</f>
        <v>15546140</v>
      </c>
      <c r="BF661" s="561"/>
      <c r="BG661" s="561"/>
      <c r="BH661" s="533"/>
      <c r="BI661" s="500"/>
      <c r="BP661" s="56">
        <f>+BE661-BA661</f>
        <v>12436912</v>
      </c>
    </row>
    <row r="662" spans="2:72" x14ac:dyDescent="0.3">
      <c r="D662" s="56">
        <f>+D661+N662</f>
        <v>50857142.857142866</v>
      </c>
      <c r="H662" t="s">
        <v>138</v>
      </c>
      <c r="J662">
        <v>30</v>
      </c>
      <c r="N662" s="1">
        <f>+J662*H$658</f>
        <v>17142857.142857146</v>
      </c>
      <c r="AR662" s="500"/>
      <c r="AS662" s="533"/>
      <c r="AT662" s="588" t="s">
        <v>163</v>
      </c>
      <c r="AU662" s="588"/>
      <c r="AV662" s="588"/>
      <c r="AW662" s="588"/>
      <c r="AX662" s="588"/>
      <c r="AY662" s="588"/>
      <c r="AZ662" s="588"/>
      <c r="BA662" s="562">
        <f>+BA675-BA673</f>
        <v>16784558</v>
      </c>
      <c r="BB662" s="561"/>
      <c r="BC662" s="561">
        <v>1</v>
      </c>
      <c r="BD662" s="561"/>
      <c r="BE662" s="563">
        <f>+BC662*BA662</f>
        <v>16784558</v>
      </c>
      <c r="BF662" s="561"/>
      <c r="BG662" s="561"/>
      <c r="BH662" s="533"/>
      <c r="BI662" s="500"/>
      <c r="BP662" s="56">
        <f>+BE662-BA662</f>
        <v>0</v>
      </c>
    </row>
    <row r="663" spans="2:72" x14ac:dyDescent="0.3">
      <c r="D663" s="56">
        <f>+D662+N663</f>
        <v>68571428.571428582</v>
      </c>
      <c r="H663" t="s">
        <v>139</v>
      </c>
      <c r="J663">
        <v>31</v>
      </c>
      <c r="N663" s="1">
        <f>+J663*H$658</f>
        <v>17714285.714285716</v>
      </c>
      <c r="AR663" s="500"/>
      <c r="AS663" s="533"/>
      <c r="AT663" s="569" t="s">
        <v>183</v>
      </c>
      <c r="AU663" s="561"/>
      <c r="AV663" s="561"/>
      <c r="AW663" s="561"/>
      <c r="AX663" s="561"/>
      <c r="AY663" s="561"/>
      <c r="AZ663" s="561"/>
      <c r="BA663" s="562">
        <f>SUM(D328:D386)</f>
        <v>4197929</v>
      </c>
      <c r="BB663" s="561"/>
      <c r="BC663" s="561">
        <v>1</v>
      </c>
      <c r="BD663" s="561"/>
      <c r="BE663" s="563">
        <f>+BC663*BA663</f>
        <v>4197929</v>
      </c>
      <c r="BF663" s="561"/>
      <c r="BG663" s="561"/>
      <c r="BH663" s="533"/>
      <c r="BI663" s="500"/>
      <c r="BP663" s="56">
        <f>+BE663-BA663</f>
        <v>0</v>
      </c>
    </row>
    <row r="664" spans="2:72" x14ac:dyDescent="0.3">
      <c r="D664" s="56"/>
      <c r="N664" s="1"/>
      <c r="AR664" s="500"/>
      <c r="AS664" s="533"/>
      <c r="AT664" s="569" t="s">
        <v>188</v>
      </c>
      <c r="AU664" s="561"/>
      <c r="AV664" s="561"/>
      <c r="AW664" s="561"/>
      <c r="AX664" s="561"/>
      <c r="AY664" s="561"/>
      <c r="AZ664" s="561"/>
      <c r="BA664" s="562">
        <f>SUM(D387:D509)</f>
        <v>4225210</v>
      </c>
      <c r="BB664" s="561"/>
      <c r="BC664" s="561">
        <v>1</v>
      </c>
      <c r="BD664" s="561"/>
      <c r="BE664" s="563">
        <f>+BC664*BA664</f>
        <v>4225210</v>
      </c>
      <c r="BF664" s="561"/>
      <c r="BG664" s="561"/>
      <c r="BH664" s="533"/>
      <c r="BI664" s="500"/>
      <c r="BP664" s="56"/>
    </row>
    <row r="665" spans="2:72" x14ac:dyDescent="0.3">
      <c r="AR665" s="500"/>
      <c r="AS665" s="533"/>
      <c r="AT665" s="588" t="s">
        <v>189</v>
      </c>
      <c r="AU665" s="588"/>
      <c r="AV665" s="588"/>
      <c r="AW665" s="588"/>
      <c r="AX665" s="588"/>
      <c r="AY665" s="588"/>
      <c r="AZ665" s="588"/>
      <c r="BA665" s="562">
        <f>SUM(D510:D558)</f>
        <v>5728136</v>
      </c>
      <c r="BB665" s="561"/>
      <c r="BC665" s="561"/>
      <c r="BD665" s="561"/>
      <c r="BE665" s="563"/>
      <c r="BF665" s="561"/>
      <c r="BG665" s="561"/>
      <c r="BH665" s="533"/>
      <c r="BI665" s="500"/>
      <c r="BP665" s="56">
        <f>+BA663-BA664</f>
        <v>-27281</v>
      </c>
    </row>
    <row r="666" spans="2:72" ht="15" thickBot="1" x14ac:dyDescent="0.35">
      <c r="D666" s="56">
        <f>+BE666+D663</f>
        <v>177585275.5714286</v>
      </c>
      <c r="H666" s="59">
        <f>+D666/320000000</f>
        <v>0.55495398616071434</v>
      </c>
      <c r="AR666" s="500"/>
      <c r="AS666" s="533"/>
      <c r="AT666" s="561"/>
      <c r="AU666" s="561"/>
      <c r="AV666" s="561"/>
      <c r="AW666" s="561"/>
      <c r="AX666" s="561"/>
      <c r="AY666" s="561"/>
      <c r="AZ666" s="561"/>
      <c r="BA666" s="564">
        <f>SUM(BA660:BA665)</f>
        <v>40871062</v>
      </c>
      <c r="BB666" s="561"/>
      <c r="BC666" s="561"/>
      <c r="BD666" s="561"/>
      <c r="BE666" s="564">
        <f>SUM(BE660:BE665)</f>
        <v>109013847</v>
      </c>
      <c r="BF666" s="561"/>
      <c r="BG666" s="565">
        <f>+BE666/320000000</f>
        <v>0.34066827187499998</v>
      </c>
      <c r="BH666" s="533"/>
      <c r="BI666" s="500"/>
      <c r="BP666" s="59">
        <f>+BP665/BA663</f>
        <v>-6.4986806589630271E-3</v>
      </c>
    </row>
    <row r="667" spans="2:72" ht="15" thickTop="1" x14ac:dyDescent="0.3">
      <c r="D667" s="56"/>
      <c r="H667" s="59"/>
      <c r="AR667" s="500"/>
      <c r="AS667" s="533"/>
      <c r="AT667" s="575" t="s">
        <v>185</v>
      </c>
      <c r="AU667" s="561"/>
      <c r="AV667" s="561"/>
      <c r="AW667" s="561"/>
      <c r="AX667" s="561"/>
      <c r="AY667" s="561"/>
      <c r="AZ667" s="561"/>
      <c r="BA667" s="484">
        <f>+BY687</f>
        <v>0.54468468468468467</v>
      </c>
      <c r="BB667" s="561"/>
      <c r="BC667" s="561"/>
      <c r="BD667" s="561"/>
      <c r="BE667" s="574"/>
      <c r="BF667" s="561"/>
      <c r="BG667" s="484"/>
      <c r="BH667" s="533"/>
      <c r="BI667" s="500"/>
      <c r="BP667" s="59"/>
    </row>
    <row r="668" spans="2:72" x14ac:dyDescent="0.3">
      <c r="D668" s="56"/>
      <c r="H668" s="59"/>
      <c r="AR668" s="500"/>
      <c r="AS668" s="533"/>
      <c r="AT668" s="575" t="s">
        <v>187</v>
      </c>
      <c r="AU668" s="561"/>
      <c r="AV668" s="561"/>
      <c r="AW668" s="561"/>
      <c r="AX668" s="561"/>
      <c r="AY668" s="561"/>
      <c r="AZ668" s="561"/>
      <c r="BA668" s="576">
        <f>+BA666*BA667</f>
        <v>22261841.518198196</v>
      </c>
      <c r="BB668" s="561"/>
      <c r="BC668" s="561"/>
      <c r="BD668" s="561"/>
      <c r="BE668" s="574"/>
      <c r="BF668" s="561"/>
      <c r="BG668" s="484"/>
      <c r="BH668" s="533"/>
      <c r="BI668" s="500"/>
      <c r="BP668" s="59"/>
    </row>
    <row r="669" spans="2:72" ht="15" thickBot="1" x14ac:dyDescent="0.35">
      <c r="D669" s="56"/>
      <c r="H669" s="59"/>
      <c r="AR669" s="500"/>
      <c r="AS669" s="533"/>
      <c r="AT669" s="575" t="s">
        <v>186</v>
      </c>
      <c r="AU669" s="561"/>
      <c r="AV669" s="561"/>
      <c r="AW669" s="561"/>
      <c r="AX669" s="561"/>
      <c r="AY669" s="561"/>
      <c r="AZ669" s="561"/>
      <c r="BA669" s="564">
        <f>+BA666-BA668</f>
        <v>18609220.481801804</v>
      </c>
      <c r="BB669" s="561"/>
      <c r="BC669" s="561"/>
      <c r="BD669" s="561"/>
      <c r="BE669" s="574"/>
      <c r="BF669" s="561"/>
      <c r="BG669" s="484"/>
      <c r="BH669" s="533"/>
      <c r="BI669" s="500"/>
      <c r="BP669" s="59"/>
    </row>
    <row r="670" spans="2:72" ht="15" thickTop="1" x14ac:dyDescent="0.3">
      <c r="AR670" s="500"/>
      <c r="AS670" s="533"/>
      <c r="AT670" s="561"/>
      <c r="AU670" s="561"/>
      <c r="AV670" s="561"/>
      <c r="AW670" s="561"/>
      <c r="AX670" s="561"/>
      <c r="AY670" s="561"/>
      <c r="AZ670" s="561"/>
      <c r="BA670" s="561"/>
      <c r="BB670" s="561"/>
      <c r="BC670" s="561"/>
      <c r="BD670" s="561"/>
      <c r="BE670" s="561"/>
      <c r="BF670" s="561"/>
      <c r="BG670" s="561"/>
      <c r="BH670" s="533"/>
      <c r="BI670" s="500"/>
      <c r="BP670">
        <v>35761323</v>
      </c>
      <c r="BR670" s="56">
        <f>+BA666-BP670</f>
        <v>5109739</v>
      </c>
    </row>
    <row r="671" spans="2:72" x14ac:dyDescent="0.3">
      <c r="AR671" s="500"/>
      <c r="AS671" s="500"/>
      <c r="AT671" s="500"/>
      <c r="AU671" s="500"/>
      <c r="AV671" s="500"/>
      <c r="AW671" s="500"/>
      <c r="AX671" s="500"/>
      <c r="AY671" s="500"/>
      <c r="AZ671" s="500"/>
      <c r="BA671" s="500"/>
      <c r="BB671" s="500"/>
      <c r="BC671" s="500"/>
      <c r="BD671" s="500"/>
      <c r="BE671" s="500"/>
      <c r="BF671" s="500"/>
      <c r="BG671" s="500"/>
      <c r="BH671" s="500"/>
      <c r="BI671" s="500"/>
    </row>
    <row r="672" spans="2:72" x14ac:dyDescent="0.3">
      <c r="BP672" s="580">
        <v>221538504.58886749</v>
      </c>
      <c r="BQ672" s="591"/>
      <c r="BR672" s="591"/>
      <c r="BS672" s="591"/>
      <c r="BT672" s="591"/>
    </row>
    <row r="673" spans="44:90" x14ac:dyDescent="0.3">
      <c r="AV673" t="s">
        <v>153</v>
      </c>
      <c r="BA673" s="56">
        <f>+H235</f>
        <v>9935229</v>
      </c>
    </row>
    <row r="675" spans="44:90" x14ac:dyDescent="0.3">
      <c r="AV675" t="s">
        <v>164</v>
      </c>
      <c r="BA675" s="56">
        <f>+H327</f>
        <v>26719787</v>
      </c>
    </row>
    <row r="676" spans="44:90" x14ac:dyDescent="0.3">
      <c r="BA676" s="56"/>
    </row>
    <row r="677" spans="44:90" x14ac:dyDescent="0.3">
      <c r="AR677" s="500"/>
      <c r="AS677" s="500"/>
      <c r="AT677" s="500"/>
      <c r="AU677" s="500"/>
      <c r="AV677" s="500"/>
      <c r="AW677" s="500"/>
      <c r="AX677" s="500"/>
      <c r="AY677" s="500"/>
      <c r="AZ677" s="500"/>
      <c r="BA677" s="557"/>
      <c r="BB677" s="500"/>
      <c r="BC677" s="500"/>
      <c r="BD677" s="500"/>
      <c r="BE677" s="500"/>
      <c r="BF677" s="500"/>
      <c r="BG677" s="500"/>
      <c r="BH677" s="500"/>
      <c r="BI677" s="500"/>
      <c r="BJ677" s="500"/>
      <c r="BK677" s="500"/>
      <c r="BL677" s="500"/>
      <c r="BM677" s="500"/>
      <c r="BN677" s="500"/>
      <c r="BO677" s="500"/>
      <c r="BP677" s="500"/>
      <c r="BQ677" s="500"/>
      <c r="BR677" s="500"/>
      <c r="BS677" s="500"/>
      <c r="BT677" s="500"/>
      <c r="BU677" s="500"/>
      <c r="BV677" s="500"/>
      <c r="BW677" s="500"/>
    </row>
    <row r="678" spans="44:90" ht="14.4" customHeight="1" x14ac:dyDescent="0.3">
      <c r="AR678" s="500"/>
      <c r="AS678" s="533"/>
      <c r="AT678" s="589" t="s">
        <v>176</v>
      </c>
      <c r="AU678" s="589"/>
      <c r="AV678" s="589"/>
      <c r="AW678" s="589"/>
      <c r="AX678" s="589"/>
      <c r="AY678" s="589"/>
      <c r="AZ678" s="589"/>
      <c r="BA678" s="589"/>
      <c r="BB678" s="589"/>
      <c r="BC678" s="589"/>
      <c r="BD678" s="589"/>
      <c r="BE678" s="589"/>
      <c r="BF678" s="589"/>
      <c r="BG678" s="589"/>
      <c r="BH678" s="589"/>
      <c r="BI678" s="589"/>
      <c r="BJ678" s="589"/>
      <c r="BK678" s="589"/>
      <c r="BL678" s="589"/>
      <c r="BM678" s="589"/>
      <c r="BN678" s="589"/>
      <c r="BO678" s="589"/>
      <c r="BP678" s="589"/>
      <c r="BQ678" s="589"/>
      <c r="BR678" s="589"/>
      <c r="BS678" s="589"/>
      <c r="BT678" s="589"/>
      <c r="BU678" s="589"/>
      <c r="BV678" s="589"/>
      <c r="BW678" s="500"/>
    </row>
    <row r="679" spans="44:90" ht="14.4" customHeight="1" x14ac:dyDescent="0.3">
      <c r="AR679" s="500"/>
      <c r="AS679" s="533"/>
      <c r="AT679" s="533"/>
      <c r="AU679" s="533"/>
      <c r="AV679" s="533"/>
      <c r="AW679" s="533"/>
      <c r="AX679" s="533"/>
      <c r="AY679" s="533"/>
      <c r="AZ679" s="533"/>
      <c r="BA679" s="597" t="s">
        <v>172</v>
      </c>
      <c r="BB679" s="597"/>
      <c r="BC679" s="597"/>
      <c r="BD679" s="597"/>
      <c r="BE679" s="597"/>
      <c r="BF679" s="561"/>
      <c r="BG679" s="589" t="s">
        <v>180</v>
      </c>
      <c r="BH679" s="589"/>
      <c r="BI679" s="589"/>
      <c r="BJ679" s="589"/>
      <c r="BK679" s="589"/>
      <c r="BL679" s="589"/>
      <c r="BM679" s="589"/>
      <c r="BN679" s="589"/>
      <c r="BO679" s="589"/>
      <c r="BP679" s="589"/>
      <c r="BQ679" s="533"/>
      <c r="BR679" s="585" t="s">
        <v>176</v>
      </c>
      <c r="BS679" s="585"/>
      <c r="BT679" s="585"/>
      <c r="BU679" s="585"/>
      <c r="BV679" s="585"/>
      <c r="BW679" s="500"/>
    </row>
    <row r="680" spans="44:90" x14ac:dyDescent="0.3">
      <c r="AR680" s="500"/>
      <c r="AS680" s="533"/>
      <c r="AT680" s="533"/>
      <c r="AU680" s="533"/>
      <c r="AV680" s="533"/>
      <c r="AW680" s="533"/>
      <c r="AX680" s="533"/>
      <c r="AY680" s="533"/>
      <c r="AZ680" s="533"/>
      <c r="BA680" s="570" t="s">
        <v>177</v>
      </c>
      <c r="BB680" s="571"/>
      <c r="BC680" s="572" t="s">
        <v>182</v>
      </c>
      <c r="BD680" s="571"/>
      <c r="BE680" s="572" t="s">
        <v>178</v>
      </c>
      <c r="BF680" s="561"/>
      <c r="BG680" s="570"/>
      <c r="BH680" s="571"/>
      <c r="BI680" s="599"/>
      <c r="BJ680" s="599"/>
      <c r="BK680" s="599"/>
      <c r="BL680" s="599"/>
      <c r="BM680" s="599"/>
      <c r="BN680" s="599"/>
      <c r="BO680" s="473"/>
      <c r="BP680" s="572"/>
      <c r="BQ680" s="533"/>
      <c r="BR680" s="586"/>
      <c r="BS680" s="586"/>
      <c r="BT680" s="586"/>
      <c r="BU680" s="586"/>
      <c r="BV680" s="586"/>
      <c r="BW680" s="500"/>
    </row>
    <row r="681" spans="44:90" x14ac:dyDescent="0.3">
      <c r="AR681" s="500"/>
      <c r="AS681" s="533"/>
      <c r="AT681" s="533"/>
      <c r="AU681" s="533"/>
      <c r="AV681" s="533"/>
      <c r="AW681" s="533"/>
      <c r="AX681" s="533"/>
      <c r="AY681" s="533"/>
      <c r="AZ681" s="533"/>
      <c r="BA681" s="568" t="s">
        <v>173</v>
      </c>
      <c r="BB681" s="566"/>
      <c r="BC681" s="568" t="s">
        <v>175</v>
      </c>
      <c r="BD681" s="566"/>
      <c r="BE681" s="568" t="s">
        <v>174</v>
      </c>
      <c r="BF681" s="561"/>
      <c r="BG681" s="567" t="s">
        <v>180</v>
      </c>
      <c r="BH681" s="561"/>
      <c r="BI681" s="598" t="s">
        <v>184</v>
      </c>
      <c r="BJ681" s="598"/>
      <c r="BK681" s="598"/>
      <c r="BL681" s="598"/>
      <c r="BM681" s="598"/>
      <c r="BN681" s="598"/>
      <c r="BO681" s="561"/>
      <c r="BP681" s="568" t="s">
        <v>181</v>
      </c>
      <c r="BQ681" s="533"/>
      <c r="BR681" s="587" t="s">
        <v>179</v>
      </c>
      <c r="BS681" s="587"/>
      <c r="BT681" s="587"/>
      <c r="BU681" s="587"/>
      <c r="BV681" s="587"/>
      <c r="BW681" s="500"/>
    </row>
    <row r="682" spans="44:90" x14ac:dyDescent="0.3">
      <c r="AR682" s="500"/>
      <c r="AS682" s="533"/>
      <c r="AT682" s="588" t="s">
        <v>162</v>
      </c>
      <c r="AU682" s="588"/>
      <c r="AV682" s="588"/>
      <c r="AW682" s="588"/>
      <c r="AX682" s="588"/>
      <c r="AY682" s="561"/>
      <c r="AZ682" s="561"/>
      <c r="BA682" s="562">
        <f>+BA660</f>
        <v>6826001</v>
      </c>
      <c r="BB682" s="561"/>
      <c r="BC682" s="562">
        <f>+BE682-BA682</f>
        <v>61434009</v>
      </c>
      <c r="BD682" s="561"/>
      <c r="BE682" s="562">
        <f>+BE660</f>
        <v>68260010</v>
      </c>
      <c r="BF682" s="533"/>
      <c r="BG682" s="563">
        <v>0</v>
      </c>
      <c r="BH682" s="563"/>
      <c r="BI682" s="563"/>
      <c r="BJ682" s="563"/>
      <c r="BK682" s="563"/>
      <c r="BL682" s="563"/>
      <c r="BM682" s="563"/>
      <c r="BN682" s="563">
        <f>+BG682</f>
        <v>0</v>
      </c>
      <c r="BO682" s="563"/>
      <c r="BP682" s="563">
        <f>+BN682*0.5</f>
        <v>0</v>
      </c>
      <c r="BQ682" s="561"/>
      <c r="BR682" s="580">
        <f t="shared" ref="BR682:BR687" si="826">+BE682+BP682</f>
        <v>68260010</v>
      </c>
      <c r="BS682" s="591"/>
      <c r="BT682" s="591"/>
      <c r="BU682" s="591"/>
      <c r="BV682" s="591"/>
      <c r="BW682" s="500"/>
      <c r="CA682" s="56">
        <f>+BR682</f>
        <v>68260010</v>
      </c>
    </row>
    <row r="683" spans="44:90" x14ac:dyDescent="0.3">
      <c r="AR683" s="500"/>
      <c r="AS683" s="533"/>
      <c r="AT683" s="588" t="s">
        <v>171</v>
      </c>
      <c r="AU683" s="588"/>
      <c r="AV683" s="588"/>
      <c r="AW683" s="588"/>
      <c r="AX683" s="588"/>
      <c r="AY683" s="561"/>
      <c r="AZ683" s="561"/>
      <c r="BA683" s="562">
        <f>+BA682+BA661</f>
        <v>9935229</v>
      </c>
      <c r="BB683" s="561"/>
      <c r="BC683" s="562">
        <f>+BE683-BA683</f>
        <v>73870921</v>
      </c>
      <c r="BD683" s="561"/>
      <c r="BE683" s="562">
        <f>+BE682+BE661</f>
        <v>83806150</v>
      </c>
      <c r="BF683" s="533"/>
      <c r="BG683" s="563">
        <v>0</v>
      </c>
      <c r="BH683" s="563"/>
      <c r="BI683" s="563"/>
      <c r="BJ683" s="563"/>
      <c r="BK683" s="563"/>
      <c r="BL683" s="563"/>
      <c r="BM683" s="563"/>
      <c r="BN683" s="563">
        <f>+BN682+BG683</f>
        <v>0</v>
      </c>
      <c r="BO683" s="563"/>
      <c r="BP683" s="563">
        <f>+BN683*0.5</f>
        <v>0</v>
      </c>
      <c r="BQ683" s="561"/>
      <c r="BR683" s="580">
        <f t="shared" si="826"/>
        <v>83806150</v>
      </c>
      <c r="BS683" s="591"/>
      <c r="BT683" s="591"/>
      <c r="BU683" s="591"/>
      <c r="BV683" s="591"/>
      <c r="BW683" s="500"/>
    </row>
    <row r="684" spans="44:90" x14ac:dyDescent="0.3">
      <c r="AR684" s="500"/>
      <c r="AS684" s="533"/>
      <c r="AT684" s="588" t="s">
        <v>163</v>
      </c>
      <c r="AU684" s="588"/>
      <c r="AV684" s="588"/>
      <c r="AW684" s="588"/>
      <c r="AX684" s="588"/>
      <c r="AY684" s="588"/>
      <c r="AZ684" s="588"/>
      <c r="BA684" s="562">
        <f>+BA683+BA662</f>
        <v>26719787</v>
      </c>
      <c r="BB684" s="561"/>
      <c r="BC684" s="562">
        <f>(+BE684-BA684)*(1-0.2)</f>
        <v>59096736.800000004</v>
      </c>
      <c r="BD684" s="561"/>
      <c r="BE684" s="562">
        <f>+BE683+BE662</f>
        <v>100590708</v>
      </c>
      <c r="BF684" s="533"/>
      <c r="BG684" s="563">
        <f>13400000+5660000</f>
        <v>19060000</v>
      </c>
      <c r="BH684" s="563"/>
      <c r="BI684" s="592"/>
      <c r="BJ684" s="592"/>
      <c r="BK684" s="592"/>
      <c r="BL684" s="592"/>
      <c r="BM684" s="592"/>
      <c r="BN684" s="592"/>
      <c r="BO684" s="563"/>
      <c r="BP684" s="563">
        <f>+BG684</f>
        <v>19060000</v>
      </c>
      <c r="BQ684" s="561"/>
      <c r="BR684" s="580">
        <f t="shared" si="826"/>
        <v>119650708</v>
      </c>
      <c r="BS684" s="591"/>
      <c r="BT684" s="591"/>
      <c r="BU684" s="591"/>
      <c r="BV684" s="591"/>
      <c r="BW684" s="500"/>
    </row>
    <row r="685" spans="44:90" x14ac:dyDescent="0.3">
      <c r="AR685" s="500"/>
      <c r="AS685" s="533"/>
      <c r="AT685" s="569" t="s">
        <v>183</v>
      </c>
      <c r="AU685" s="561"/>
      <c r="AV685" s="561"/>
      <c r="AW685" s="561"/>
      <c r="AX685" s="561"/>
      <c r="AY685" s="561"/>
      <c r="AZ685" s="561"/>
      <c r="BA685" s="562">
        <f>+BA684+BA663</f>
        <v>30917716</v>
      </c>
      <c r="BB685" s="561"/>
      <c r="BC685" s="562">
        <f>(+BE685-BA685)*(1-0.34)</f>
        <v>48754807.859999992</v>
      </c>
      <c r="BD685" s="561"/>
      <c r="BE685" s="562">
        <f>+BE684+BE663</f>
        <v>104788637</v>
      </c>
      <c r="BF685" s="533"/>
      <c r="BG685" s="563">
        <f>53420000-BG684</f>
        <v>34360000</v>
      </c>
      <c r="BH685" s="563"/>
      <c r="BI685" s="592"/>
      <c r="BJ685" s="592"/>
      <c r="BK685" s="592"/>
      <c r="BL685" s="592"/>
      <c r="BM685" s="592"/>
      <c r="BN685" s="592"/>
      <c r="BO685" s="563"/>
      <c r="BP685" s="563">
        <f>+BP684+BG685</f>
        <v>53420000</v>
      </c>
      <c r="BQ685" s="561"/>
      <c r="BR685" s="580">
        <f t="shared" si="826"/>
        <v>158208637</v>
      </c>
      <c r="BS685" s="591"/>
      <c r="BT685" s="591"/>
      <c r="BU685" s="591"/>
      <c r="BV685" s="591"/>
      <c r="BW685" s="500"/>
    </row>
    <row r="686" spans="44:90" x14ac:dyDescent="0.3">
      <c r="AR686" s="500"/>
      <c r="AS686" s="533"/>
      <c r="AT686" s="569" t="s">
        <v>188</v>
      </c>
      <c r="AU686" s="561"/>
      <c r="AV686" s="561"/>
      <c r="AW686" s="561"/>
      <c r="AX686" s="561"/>
      <c r="AY686" s="561"/>
      <c r="AZ686" s="561"/>
      <c r="BA686" s="562">
        <v>17702720</v>
      </c>
      <c r="BB686" s="561"/>
      <c r="BC686" s="562">
        <v>36659557</v>
      </c>
      <c r="BD686" s="561"/>
      <c r="BE686" s="562">
        <f>+BA686+BC686</f>
        <v>54362277</v>
      </c>
      <c r="BF686" s="533"/>
      <c r="BG686" s="563">
        <f>164760000-BP685</f>
        <v>111340000</v>
      </c>
      <c r="BH686" s="563"/>
      <c r="BI686" s="592"/>
      <c r="BJ686" s="592"/>
      <c r="BK686" s="592"/>
      <c r="BL686" s="592"/>
      <c r="BM686" s="592"/>
      <c r="BN686" s="592"/>
      <c r="BO686" s="563"/>
      <c r="BP686" s="563">
        <f>+BP685+BG686</f>
        <v>164760000</v>
      </c>
      <c r="BQ686" s="561"/>
      <c r="BR686" s="580">
        <f t="shared" si="826"/>
        <v>219122277</v>
      </c>
      <c r="BS686" s="591"/>
      <c r="BT686" s="591"/>
      <c r="BU686" s="591"/>
      <c r="BV686" s="591"/>
      <c r="BW686" s="500"/>
      <c r="CL686" s="1">
        <v>333000000</v>
      </c>
    </row>
    <row r="687" spans="44:90" x14ac:dyDescent="0.3">
      <c r="AR687" s="500"/>
      <c r="AS687" s="533"/>
      <c r="AT687" s="569" t="s">
        <v>189</v>
      </c>
      <c r="AU687" s="561"/>
      <c r="AV687" s="561"/>
      <c r="AW687" s="561"/>
      <c r="AX687" s="561"/>
      <c r="AY687" s="561"/>
      <c r="AZ687" s="561"/>
      <c r="BA687" s="562">
        <f>+BA669</f>
        <v>18609220.481801804</v>
      </c>
      <c r="BB687" s="561"/>
      <c r="BC687" s="562">
        <f>+BC683*BY687</f>
        <v>40236359.312252253</v>
      </c>
      <c r="BD687" s="561"/>
      <c r="BE687" s="562">
        <f>+BA687+BC687</f>
        <v>58845579.794054061</v>
      </c>
      <c r="BF687" s="533"/>
      <c r="BG687" s="563">
        <f>181380000-BP686</f>
        <v>16620000</v>
      </c>
      <c r="BH687" s="563"/>
      <c r="BI687" s="592"/>
      <c r="BJ687" s="592"/>
      <c r="BK687" s="592"/>
      <c r="BL687" s="592"/>
      <c r="BM687" s="592"/>
      <c r="BN687" s="592"/>
      <c r="BO687" s="563"/>
      <c r="BP687" s="563">
        <f>+BP686+BG687</f>
        <v>181380000</v>
      </c>
      <c r="BQ687" s="561"/>
      <c r="BR687" s="580">
        <f t="shared" si="826"/>
        <v>240225579.79405406</v>
      </c>
      <c r="BS687" s="580"/>
      <c r="BT687" s="580"/>
      <c r="BU687" s="580"/>
      <c r="BV687" s="580"/>
      <c r="BW687" s="500"/>
      <c r="BY687" s="59">
        <f>+BP687/CL686</f>
        <v>0.54468468468468467</v>
      </c>
      <c r="CL687" s="1"/>
    </row>
    <row r="688" spans="44:90" x14ac:dyDescent="0.3">
      <c r="AR688" s="500"/>
      <c r="AS688" s="500"/>
      <c r="AT688" s="500"/>
      <c r="AU688" s="500"/>
      <c r="AV688" s="500"/>
      <c r="AW688" s="500"/>
      <c r="AX688" s="500"/>
      <c r="AY688" s="500"/>
      <c r="AZ688" s="500"/>
      <c r="BA688" s="500"/>
      <c r="BB688" s="500"/>
      <c r="BC688" s="500"/>
      <c r="BD688" s="500"/>
      <c r="BE688" s="500"/>
      <c r="BF688" s="500"/>
      <c r="BG688" s="500"/>
      <c r="BH688" s="500"/>
      <c r="BI688" s="500"/>
      <c r="BJ688" s="500"/>
      <c r="BK688" s="500"/>
      <c r="BL688" s="500"/>
      <c r="BM688" s="500"/>
      <c r="BN688" s="500"/>
      <c r="BO688" s="500"/>
      <c r="BP688" s="500"/>
      <c r="BQ688" s="500"/>
      <c r="BR688" s="500"/>
      <c r="BS688" s="500"/>
      <c r="BT688" s="500"/>
      <c r="BU688" s="500"/>
      <c r="BV688" s="500"/>
      <c r="BW688" s="500"/>
      <c r="CL688" s="59">
        <f>+BR687/CL686</f>
        <v>0.72139813751968185</v>
      </c>
    </row>
    <row r="690" spans="42:90" x14ac:dyDescent="0.3">
      <c r="BA690" s="56">
        <f>+BR686+BA668</f>
        <v>241384118.51819819</v>
      </c>
      <c r="BC690" s="59">
        <f>+BA690/CL686</f>
        <v>0.72487723278738192</v>
      </c>
      <c r="BE690" s="56"/>
      <c r="BG690" s="1">
        <v>178690000</v>
      </c>
      <c r="BP690" s="1">
        <f>+(BP687-BP686)/2</f>
        <v>8310000</v>
      </c>
      <c r="CL690" s="56">
        <f>+CL686-BR686</f>
        <v>113877723</v>
      </c>
    </row>
    <row r="691" spans="42:90" x14ac:dyDescent="0.3">
      <c r="BG691" s="56">
        <f>+BP687-BG690</f>
        <v>2690000</v>
      </c>
      <c r="BP691" s="56">
        <v>1800000</v>
      </c>
    </row>
    <row r="692" spans="42:90" ht="15" thickBot="1" x14ac:dyDescent="0.35">
      <c r="BP692" s="578">
        <f>+BP690-BP691</f>
        <v>6510000</v>
      </c>
    </row>
    <row r="693" spans="42:90" ht="15" thickTop="1" x14ac:dyDescent="0.3">
      <c r="CL693" s="59">
        <f>+BP686/CL686</f>
        <v>0.49477477477477477</v>
      </c>
    </row>
    <row r="695" spans="42:90" x14ac:dyDescent="0.3">
      <c r="BE695" s="500"/>
      <c r="BF695" s="500"/>
      <c r="BG695" s="500"/>
      <c r="BH695" s="500"/>
      <c r="BI695" s="500"/>
      <c r="BJ695" s="500"/>
      <c r="BK695" s="500"/>
      <c r="BL695" s="500"/>
      <c r="BM695" s="500"/>
      <c r="BN695" s="500"/>
      <c r="BO695" s="500"/>
      <c r="BP695" s="500"/>
      <c r="BQ695" s="500"/>
      <c r="BR695" s="500"/>
      <c r="BS695" s="500"/>
      <c r="BT695" s="500"/>
      <c r="BU695" s="500"/>
      <c r="BV695" s="500"/>
      <c r="BW695" s="500"/>
      <c r="BX695" s="500"/>
      <c r="BY695" s="500"/>
    </row>
    <row r="696" spans="42:90" x14ac:dyDescent="0.3">
      <c r="BE696" s="500"/>
      <c r="BF696" s="500"/>
      <c r="BG696" s="500"/>
      <c r="BH696" s="500"/>
      <c r="BI696" s="500"/>
      <c r="BJ696" s="500"/>
      <c r="BK696" s="500"/>
      <c r="BL696" s="500"/>
      <c r="BM696" s="500"/>
      <c r="BN696" s="500"/>
      <c r="BO696" s="500"/>
      <c r="BP696" s="500"/>
      <c r="BQ696" s="500"/>
      <c r="BR696" s="500"/>
      <c r="BS696" s="500"/>
      <c r="BT696" s="500"/>
      <c r="BU696" s="500"/>
      <c r="BV696" s="500"/>
      <c r="BW696" s="500"/>
      <c r="BX696" s="500"/>
      <c r="BY696" s="500"/>
    </row>
    <row r="697" spans="42:90" x14ac:dyDescent="0.3">
      <c r="AP697" s="1">
        <v>1500000</v>
      </c>
      <c r="BE697" s="500"/>
      <c r="BF697" s="500"/>
      <c r="BG697" s="500"/>
      <c r="BH697" s="500"/>
      <c r="BI697" s="500"/>
      <c r="BJ697" s="500"/>
      <c r="BK697" s="500"/>
      <c r="BL697" s="500"/>
      <c r="BM697" s="500"/>
      <c r="BN697" s="500"/>
      <c r="BO697" s="500"/>
      <c r="BP697" s="500"/>
      <c r="BQ697" s="500"/>
      <c r="BR697" s="500"/>
      <c r="BS697" s="500"/>
      <c r="BT697" s="500"/>
      <c r="BU697" s="500"/>
      <c r="BV697" s="500"/>
      <c r="BW697" s="500"/>
      <c r="BX697" s="500"/>
      <c r="BY697" s="500"/>
    </row>
    <row r="698" spans="42:90" x14ac:dyDescent="0.3">
      <c r="AP698">
        <v>7</v>
      </c>
      <c r="BE698" s="500"/>
      <c r="BY698" s="500"/>
      <c r="CL698">
        <v>177090000</v>
      </c>
    </row>
    <row r="699" spans="42:90" x14ac:dyDescent="0.3">
      <c r="AP699" s="1">
        <f>+AP697*AP698</f>
        <v>10500000</v>
      </c>
      <c r="BE699" s="500"/>
      <c r="BY699" s="500"/>
      <c r="CL699" s="231">
        <f>+CL698/CL686</f>
        <v>0.53180180180180181</v>
      </c>
    </row>
    <row r="700" spans="42:90" x14ac:dyDescent="0.3">
      <c r="BE700" s="500"/>
      <c r="BY700" s="500"/>
    </row>
    <row r="701" spans="42:90" x14ac:dyDescent="0.3">
      <c r="BE701" s="500"/>
      <c r="BY701" s="500"/>
    </row>
    <row r="702" spans="42:90" x14ac:dyDescent="0.3">
      <c r="BE702" s="500"/>
      <c r="BY702" s="500"/>
      <c r="CL702" s="56">
        <f>+BR686+27420000</f>
        <v>246542277</v>
      </c>
    </row>
    <row r="703" spans="42:90" x14ac:dyDescent="0.3">
      <c r="BE703" s="500"/>
      <c r="BY703" s="500"/>
    </row>
    <row r="704" spans="42:90" x14ac:dyDescent="0.3">
      <c r="BE704" s="500"/>
      <c r="BY704" s="500"/>
      <c r="CL704" s="59">
        <f>+CL702/CL686</f>
        <v>0.74036719819819818</v>
      </c>
    </row>
    <row r="705" spans="57:77" x14ac:dyDescent="0.3">
      <c r="BE705" s="500"/>
      <c r="BY705" s="500"/>
    </row>
    <row r="706" spans="57:77" x14ac:dyDescent="0.3">
      <c r="BE706" s="500"/>
      <c r="BY706" s="500"/>
    </row>
    <row r="707" spans="57:77" x14ac:dyDescent="0.3">
      <c r="BE707" s="500"/>
      <c r="BY707" s="500"/>
    </row>
    <row r="708" spans="57:77" x14ac:dyDescent="0.3">
      <c r="BE708" s="500"/>
      <c r="BY708" s="500"/>
    </row>
    <row r="709" spans="57:77" x14ac:dyDescent="0.3">
      <c r="BE709" s="500"/>
      <c r="BY709" s="500"/>
    </row>
    <row r="710" spans="57:77" x14ac:dyDescent="0.3">
      <c r="BE710" s="500"/>
      <c r="BY710" s="500"/>
    </row>
    <row r="711" spans="57:77" x14ac:dyDescent="0.3">
      <c r="BE711" s="500"/>
      <c r="BF711" s="500"/>
      <c r="BG711" s="500"/>
      <c r="BH711" s="500"/>
      <c r="BI711" s="500"/>
      <c r="BJ711" s="500"/>
      <c r="BK711" s="500"/>
      <c r="BL711" s="500"/>
      <c r="BM711" s="500"/>
      <c r="BN711" s="500"/>
      <c r="BO711" s="500"/>
      <c r="BP711" s="500"/>
      <c r="BQ711" s="500"/>
      <c r="BR711" s="500"/>
      <c r="BS711" s="500"/>
      <c r="BT711" s="500"/>
      <c r="BU711" s="500"/>
      <c r="BV711" s="500"/>
      <c r="BW711" s="500"/>
      <c r="BX711" s="500"/>
      <c r="BY711" s="500"/>
    </row>
    <row r="712" spans="57:77" x14ac:dyDescent="0.3">
      <c r="BE712" s="500"/>
      <c r="BF712" s="500"/>
      <c r="BG712" s="500"/>
      <c r="BH712" s="500"/>
      <c r="BI712" s="500"/>
      <c r="BJ712" s="500"/>
      <c r="BK712" s="500"/>
      <c r="BL712" s="500"/>
      <c r="BM712" s="500"/>
      <c r="BN712" s="500"/>
      <c r="BO712" s="500"/>
      <c r="BP712" s="500"/>
      <c r="BQ712" s="500"/>
      <c r="BR712" s="500"/>
      <c r="BS712" s="500"/>
      <c r="BT712" s="500"/>
      <c r="BU712" s="500"/>
      <c r="BV712" s="500"/>
      <c r="BW712" s="500"/>
      <c r="BX712" s="500"/>
      <c r="BY712" s="500"/>
    </row>
    <row r="713" spans="57:77" x14ac:dyDescent="0.3">
      <c r="BE713" s="500"/>
      <c r="BF713" s="500"/>
      <c r="BG713" s="500"/>
      <c r="BH713" s="500"/>
      <c r="BI713" s="500"/>
      <c r="BJ713" s="500"/>
      <c r="BK713" s="500"/>
      <c r="BL713" s="500"/>
      <c r="BM713" s="500"/>
      <c r="BN713" s="500"/>
      <c r="BO713" s="500"/>
      <c r="BP713" s="500"/>
      <c r="BQ713" s="500"/>
      <c r="BR713" s="500"/>
      <c r="BS713" s="500"/>
      <c r="BT713" s="500"/>
      <c r="BU713" s="500"/>
      <c r="BV713" s="500"/>
      <c r="BW713" s="500"/>
      <c r="BX713" s="500"/>
      <c r="BY713" s="500"/>
    </row>
    <row r="714" spans="57:77" x14ac:dyDescent="0.3">
      <c r="BE714" s="500"/>
      <c r="BF714" s="500"/>
      <c r="BG714" s="500"/>
      <c r="BH714" s="500"/>
      <c r="BI714" s="500"/>
      <c r="BJ714" s="500"/>
      <c r="BK714" s="500"/>
      <c r="BL714" s="500"/>
      <c r="BM714" s="500"/>
      <c r="BN714" s="500"/>
      <c r="BO714" s="500"/>
      <c r="BP714" s="500"/>
      <c r="BQ714" s="500"/>
      <c r="BR714" s="500"/>
      <c r="BS714" s="500"/>
      <c r="BT714" s="500"/>
      <c r="BU714" s="500"/>
      <c r="BV714" s="500"/>
      <c r="BW714" s="500"/>
      <c r="BX714" s="500"/>
      <c r="BY714" s="500"/>
    </row>
    <row r="715" spans="57:77" x14ac:dyDescent="0.3">
      <c r="BE715" s="500"/>
      <c r="BF715" s="500"/>
      <c r="BG715" s="500"/>
      <c r="BH715" s="500"/>
      <c r="BI715" s="500"/>
      <c r="BJ715" s="500"/>
      <c r="BK715" s="500"/>
      <c r="BL715" s="500"/>
      <c r="BM715" s="500"/>
      <c r="BN715" s="500"/>
      <c r="BO715" s="500"/>
      <c r="BP715" s="500"/>
      <c r="BQ715" s="500"/>
      <c r="BR715" s="500"/>
      <c r="BS715" s="500"/>
      <c r="BT715" s="500"/>
      <c r="BU715" s="500"/>
      <c r="BV715" s="500"/>
      <c r="BW715" s="500"/>
      <c r="BX715" s="500"/>
      <c r="BY715" s="500"/>
    </row>
    <row r="716" spans="57:77" x14ac:dyDescent="0.3">
      <c r="BE716" s="500"/>
      <c r="BF716" s="500"/>
      <c r="BG716" s="500"/>
      <c r="BH716" s="500"/>
      <c r="BI716" s="500"/>
      <c r="BJ716" s="500"/>
      <c r="BK716" s="500"/>
      <c r="BL716" s="500"/>
      <c r="BM716" s="500"/>
      <c r="BN716" s="500"/>
      <c r="BO716" s="500"/>
      <c r="BP716" s="500"/>
      <c r="BQ716" s="500"/>
      <c r="BR716" s="500"/>
      <c r="BS716" s="500"/>
      <c r="BT716" s="500"/>
      <c r="BU716" s="500"/>
      <c r="BV716" s="500"/>
      <c r="BW716" s="500"/>
      <c r="BX716" s="500"/>
      <c r="BY716" s="500"/>
    </row>
    <row r="717" spans="57:77" x14ac:dyDescent="0.3">
      <c r="BE717" s="500"/>
      <c r="BF717" s="500"/>
      <c r="BG717" s="500"/>
      <c r="BH717" s="500"/>
      <c r="BI717" s="500"/>
      <c r="BJ717" s="500"/>
      <c r="BK717" s="500"/>
      <c r="BL717" s="500"/>
      <c r="BM717" s="500"/>
      <c r="BN717" s="500"/>
      <c r="BO717" s="500"/>
      <c r="BP717" s="500"/>
      <c r="BQ717" s="500"/>
      <c r="BR717" s="500"/>
      <c r="BS717" s="500"/>
      <c r="BT717" s="500"/>
      <c r="BU717" s="500"/>
      <c r="BV717" s="500"/>
      <c r="BW717" s="500"/>
      <c r="BX717" s="500"/>
      <c r="BY717" s="500"/>
    </row>
    <row r="718" spans="57:77" x14ac:dyDescent="0.3">
      <c r="BE718" s="500"/>
      <c r="BF718" s="500"/>
      <c r="BG718" s="500"/>
      <c r="BH718" s="500"/>
      <c r="BI718" s="500"/>
      <c r="BJ718" s="500"/>
      <c r="BK718" s="500"/>
      <c r="BL718" s="500"/>
      <c r="BM718" s="500"/>
      <c r="BN718" s="500"/>
      <c r="BO718" s="500"/>
      <c r="BP718" s="500"/>
      <c r="BQ718" s="500"/>
      <c r="BR718" s="500"/>
      <c r="BS718" s="500"/>
      <c r="BT718" s="500"/>
      <c r="BU718" s="500"/>
      <c r="BV718" s="500"/>
      <c r="BW718" s="500"/>
      <c r="BX718" s="500"/>
      <c r="BY718" s="500"/>
    </row>
  </sheetData>
  <mergeCells count="60">
    <mergeCell ref="BR683:BV683"/>
    <mergeCell ref="BR684:BV684"/>
    <mergeCell ref="BR686:BV686"/>
    <mergeCell ref="BI685:BN685"/>
    <mergeCell ref="BR685:BV685"/>
    <mergeCell ref="BI684:BN684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587:AN587"/>
    <mergeCell ref="AK597:AN597"/>
    <mergeCell ref="AV646:AX646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86:AV586"/>
    <mergeCell ref="AK588:AN588"/>
    <mergeCell ref="AK589:AN589"/>
    <mergeCell ref="AK590:AN590"/>
    <mergeCell ref="AK591:AN591"/>
    <mergeCell ref="AS657:BH657"/>
    <mergeCell ref="H619:J619"/>
    <mergeCell ref="AK596:AN596"/>
    <mergeCell ref="BI687:BN687"/>
    <mergeCell ref="AT682:AX682"/>
    <mergeCell ref="AT683:AX683"/>
    <mergeCell ref="AT684:AZ684"/>
    <mergeCell ref="BA679:BE679"/>
    <mergeCell ref="BG679:BP679"/>
    <mergeCell ref="BI681:BN681"/>
    <mergeCell ref="BI680:BN680"/>
    <mergeCell ref="BR687:BV687"/>
    <mergeCell ref="AV651:AY651"/>
    <mergeCell ref="BE658:BE659"/>
    <mergeCell ref="AV634:AX634"/>
    <mergeCell ref="BR679:BV680"/>
    <mergeCell ref="BR681:BV681"/>
    <mergeCell ref="AT661:AX661"/>
    <mergeCell ref="AT665:AZ665"/>
    <mergeCell ref="AT659:AY659"/>
    <mergeCell ref="AT662:AZ662"/>
    <mergeCell ref="AT678:BV678"/>
    <mergeCell ref="BG658:BG659"/>
    <mergeCell ref="AT660:AX660"/>
    <mergeCell ref="BP672:BT672"/>
    <mergeCell ref="BI686:BN686"/>
    <mergeCell ref="BR682:BV682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92:AP594 AR592:AR59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81"/>
  <sheetViews>
    <sheetView tabSelected="1" topLeftCell="A11" workbookViewId="0">
      <selection activeCell="AG29" sqref="AG2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3" t="s">
        <v>7</v>
      </c>
      <c r="F7" s="634"/>
      <c r="G7" s="638">
        <v>0.7</v>
      </c>
      <c r="H7" s="638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9"/>
    </row>
    <row r="8" spans="3:40" x14ac:dyDescent="0.3">
      <c r="E8" s="635" t="s">
        <v>110</v>
      </c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7"/>
    </row>
    <row r="9" spans="3:40" x14ac:dyDescent="0.3">
      <c r="E9" s="653" t="s">
        <v>35</v>
      </c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5"/>
      <c r="Q9" s="651" t="s">
        <v>103</v>
      </c>
      <c r="R9" s="5"/>
      <c r="S9" s="648" t="s">
        <v>4</v>
      </c>
      <c r="T9" s="649"/>
      <c r="U9" s="650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2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5" t="s">
        <v>46</v>
      </c>
      <c r="AE14" s="646"/>
      <c r="AF14" s="647"/>
      <c r="AG14" s="193"/>
      <c r="AH14" s="643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4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+K569</f>
        <v>3936070</v>
      </c>
      <c r="AG16" s="187"/>
      <c r="AH16" s="201">
        <f>+AJ31</f>
        <v>12262.989056951836</v>
      </c>
      <c r="AI16" s="201"/>
      <c r="AJ16" s="202">
        <f>+S569</f>
        <v>90955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802829</v>
      </c>
      <c r="AG17" s="188"/>
      <c r="AH17" s="149">
        <v>11648</v>
      </c>
      <c r="AI17" s="201"/>
      <c r="AJ17" s="148">
        <v>18541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1411231</v>
      </c>
      <c r="AG18" s="188"/>
      <c r="AH18" s="149">
        <v>11024</v>
      </c>
      <c r="AI18" s="201"/>
      <c r="AJ18" s="148">
        <v>29131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6150130</v>
      </c>
      <c r="AG19" s="188"/>
      <c r="AH19" s="188"/>
      <c r="AI19" s="188"/>
      <c r="AJ19" s="206">
        <f>SUM(AJ16:AJ18)</f>
        <v>138627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Table'!H573</f>
        <v>0.14779275347315241</v>
      </c>
      <c r="AG21" s="188"/>
      <c r="AH21" s="188"/>
      <c r="AI21" s="188"/>
      <c r="AJ21" s="208">
        <f>+AJ19/'Main Table'!AA573</f>
        <v>0.20782723415738422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5" t="s">
        <v>120</v>
      </c>
      <c r="AB25" s="646"/>
      <c r="AC25" s="646"/>
      <c r="AD25" s="646"/>
      <c r="AE25" s="646"/>
      <c r="AF25" s="646"/>
      <c r="AG25" s="646"/>
      <c r="AH25" s="646"/>
      <c r="AI25" s="646"/>
      <c r="AJ25" s="646"/>
      <c r="AK25" s="647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+E569</f>
        <v>2402248</v>
      </c>
      <c r="AE27" s="155"/>
      <c r="AF27" s="186">
        <v>12381</v>
      </c>
      <c r="AG27" s="155"/>
      <c r="AH27" s="177">
        <f>+AD27/AD$31</f>
        <v>0.50692112239572951</v>
      </c>
      <c r="AI27" s="177"/>
      <c r="AJ27" s="155">
        <f>+AF27*AH27</f>
        <v>6276.190416381527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+G569</f>
        <v>1146089</v>
      </c>
      <c r="AE28" s="155"/>
      <c r="AF28" s="186">
        <v>12916</v>
      </c>
      <c r="AG28" s="155"/>
      <c r="AH28" s="177">
        <f>+AD28/AD$31</f>
        <v>0.24184710414803101</v>
      </c>
      <c r="AI28" s="177"/>
      <c r="AJ28" s="155">
        <f>+AF28*AH28</f>
        <v>3123.6971971759685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+I569</f>
        <v>387733</v>
      </c>
      <c r="AE29" s="155"/>
      <c r="AF29" s="186">
        <v>10875</v>
      </c>
      <c r="AG29" s="155"/>
      <c r="AH29" s="177">
        <f>+AD29/AD$31</f>
        <v>8.1819215813630969E-2</v>
      </c>
      <c r="AI29" s="177"/>
      <c r="AJ29" s="155">
        <f>+AF29*AH29</f>
        <v>889.78397197323682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802829</v>
      </c>
      <c r="AE30" s="237"/>
      <c r="AF30" s="155">
        <f>+AH17</f>
        <v>11648</v>
      </c>
      <c r="AG30" s="237"/>
      <c r="AH30" s="177">
        <f>+AD30/AD$31</f>
        <v>0.16941255764260854</v>
      </c>
      <c r="AI30" s="237"/>
      <c r="AJ30" s="155">
        <f>+AF30*AH30</f>
        <v>1973.3174714211043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4738899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12262.989056951836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0" t="s">
        <v>29</v>
      </c>
      <c r="AB36" s="641"/>
      <c r="AC36" s="641"/>
      <c r="AD36" s="641"/>
      <c r="AE36" s="641"/>
      <c r="AF36" s="641"/>
      <c r="AG36" s="641"/>
      <c r="AH36" s="641"/>
      <c r="AI36" s="642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Table'!AA573</f>
        <v>667030</v>
      </c>
      <c r="AJ49" s="56">
        <f>+AJ19</f>
        <v>138627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138627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528403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221929.25999999998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306473.74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0.45946020418871714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567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565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/>
      <c r="F566" s="7"/>
      <c r="G566" s="7"/>
      <c r="H566" s="7"/>
      <c r="I566" s="7"/>
      <c r="J566" s="244"/>
      <c r="K566" s="7"/>
      <c r="L566" s="6"/>
      <c r="M566" s="438"/>
      <c r="N566" s="29"/>
      <c r="O566" s="29"/>
      <c r="P566" s="29"/>
      <c r="Q566" s="332"/>
      <c r="R566" s="6"/>
      <c r="S566" s="7"/>
      <c r="T566" s="6"/>
      <c r="U566" s="243"/>
      <c r="Y566" s="56"/>
    </row>
    <row r="567" spans="3:25" ht="15" thickBot="1" x14ac:dyDescent="0.35">
      <c r="C567" s="157">
        <f t="shared" si="93"/>
        <v>44466</v>
      </c>
      <c r="E567" s="245"/>
      <c r="F567" s="246"/>
      <c r="G567" s="246"/>
      <c r="H567" s="246"/>
      <c r="I567" s="246"/>
      <c r="J567" s="246"/>
      <c r="K567" s="246"/>
      <c r="L567" s="247"/>
      <c r="M567" s="248"/>
      <c r="N567" s="248"/>
      <c r="O567" s="248"/>
      <c r="P567" s="248"/>
      <c r="Q567" s="331"/>
      <c r="R567" s="247"/>
      <c r="S567" s="247"/>
      <c r="T567" s="247"/>
      <c r="U567" s="249"/>
      <c r="W567">
        <f>+W405+1</f>
        <v>396</v>
      </c>
      <c r="Y567" s="59"/>
    </row>
    <row r="568" spans="3:25" x14ac:dyDescent="0.3">
      <c r="E568" s="56"/>
      <c r="F568" s="1"/>
      <c r="G568" s="56"/>
      <c r="H568" s="56"/>
      <c r="I568" s="56"/>
      <c r="J568" s="1"/>
      <c r="K568" s="56"/>
      <c r="S568" s="56"/>
    </row>
    <row r="569" spans="3:25" x14ac:dyDescent="0.3">
      <c r="C569" s="166" t="s">
        <v>73</v>
      </c>
      <c r="E569" s="56">
        <f>+E565</f>
        <v>2402248</v>
      </c>
      <c r="F569" s="56"/>
      <c r="G569" s="56">
        <f t="shared" ref="G569:U569" si="138">+G565</f>
        <v>1146089</v>
      </c>
      <c r="H569" s="56">
        <f t="shared" si="138"/>
        <v>0</v>
      </c>
      <c r="I569" s="56">
        <f t="shared" si="138"/>
        <v>387733</v>
      </c>
      <c r="J569" s="56">
        <f t="shared" si="138"/>
        <v>0</v>
      </c>
      <c r="K569" s="56">
        <f t="shared" si="138"/>
        <v>3936070</v>
      </c>
      <c r="L569" s="56">
        <f t="shared" si="138"/>
        <v>0</v>
      </c>
      <c r="M569" s="56">
        <f t="shared" si="138"/>
        <v>1.6107935893977718E-3</v>
      </c>
      <c r="N569" s="56">
        <f t="shared" si="138"/>
        <v>0</v>
      </c>
      <c r="O569" s="56">
        <f t="shared" si="138"/>
        <v>0</v>
      </c>
      <c r="P569" s="56">
        <f t="shared" si="138"/>
        <v>0</v>
      </c>
      <c r="Q569" s="56">
        <f t="shared" si="138"/>
        <v>6330</v>
      </c>
      <c r="R569" s="56">
        <f t="shared" si="138"/>
        <v>0</v>
      </c>
      <c r="S569" s="56">
        <f t="shared" si="138"/>
        <v>90955</v>
      </c>
      <c r="T569" s="56">
        <f t="shared" si="138"/>
        <v>0</v>
      </c>
      <c r="U569" s="56">
        <f t="shared" si="138"/>
        <v>2.402125115017657E-2</v>
      </c>
      <c r="V569" s="56">
        <f>+V259</f>
        <v>0</v>
      </c>
    </row>
    <row r="570" spans="3:25" x14ac:dyDescent="0.3">
      <c r="E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</row>
    <row r="571" spans="3:25" x14ac:dyDescent="0.3">
      <c r="E571" s="59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</row>
    <row r="572" spans="3:25" x14ac:dyDescent="0.3">
      <c r="C572" s="111"/>
      <c r="D572" s="112"/>
      <c r="E572" s="349"/>
      <c r="F572" s="10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</row>
    <row r="573" spans="3:25" x14ac:dyDescent="0.3">
      <c r="E573" s="56"/>
      <c r="K573" s="56"/>
      <c r="Q573" s="56"/>
    </row>
    <row r="574" spans="3:25" x14ac:dyDescent="0.3">
      <c r="D574" s="549" t="s">
        <v>26</v>
      </c>
      <c r="E574" t="s">
        <v>158</v>
      </c>
      <c r="K574" s="549"/>
      <c r="Q574" s="56"/>
      <c r="S574" s="59"/>
    </row>
    <row r="576" spans="3:25" x14ac:dyDescent="0.3">
      <c r="U576" s="549"/>
    </row>
    <row r="577" spans="3:41" x14ac:dyDescent="0.3">
      <c r="AO577" s="1">
        <v>3797000</v>
      </c>
    </row>
    <row r="578" spans="3:41" x14ac:dyDescent="0.3">
      <c r="C578" s="1"/>
    </row>
    <row r="579" spans="3:41" x14ac:dyDescent="0.3">
      <c r="C579" s="1"/>
      <c r="AO579" s="1">
        <v>30000</v>
      </c>
    </row>
    <row r="580" spans="3:41" x14ac:dyDescent="0.3">
      <c r="C580" s="59"/>
    </row>
    <row r="581" spans="3:41" x14ac:dyDescent="0.3">
      <c r="AO581" s="235">
        <f>+AO579/AO577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63"/>
  <sheetViews>
    <sheetView topLeftCell="A493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1" t="s">
        <v>101</v>
      </c>
      <c r="U3" s="662"/>
      <c r="V3" s="662"/>
      <c r="W3" s="662"/>
      <c r="X3" s="662"/>
      <c r="Y3" s="662"/>
      <c r="Z3" s="662"/>
      <c r="AA3" s="662"/>
      <c r="AB3" s="662"/>
      <c r="AC3" s="662"/>
      <c r="AD3" s="663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1.9241224492110725E-2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4" t="s">
        <v>91</v>
      </c>
      <c r="F15" s="664"/>
      <c r="G15" s="664"/>
      <c r="H15" s="664"/>
      <c r="I15" s="664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0" t="s">
        <v>44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2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3" t="s">
        <v>67</v>
      </c>
      <c r="F19" s="673"/>
      <c r="G19" s="673"/>
      <c r="H19" s="673"/>
      <c r="I19" s="134" t="s">
        <v>66</v>
      </c>
      <c r="J19" s="135"/>
      <c r="K19" s="678" t="s">
        <v>64</v>
      </c>
      <c r="L19" s="678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Table'!H557</f>
        <v>40834565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Table'!AA573</f>
        <v>667030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22050</v>
      </c>
      <c r="J22" s="116"/>
      <c r="K22" s="127"/>
      <c r="L22" s="238">
        <v>22341</v>
      </c>
      <c r="M22" s="127"/>
      <c r="N22" s="147">
        <f>+(I22-L22)/I22</f>
        <v>-1.3197278911564626E-2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40145485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Table'!AP573</f>
        <v>33205607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4" t="s">
        <v>47</v>
      </c>
      <c r="E25" s="675"/>
      <c r="F25" s="675"/>
      <c r="G25" s="675"/>
      <c r="H25" s="675"/>
      <c r="I25" s="119">
        <f>+I23-I24</f>
        <v>6939878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33205607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4" t="s">
        <v>44</v>
      </c>
      <c r="E27" s="675"/>
      <c r="F27" s="675"/>
      <c r="G27" s="675"/>
      <c r="H27" s="675"/>
      <c r="I27" s="136">
        <f>+I25+I26</f>
        <v>40145485</v>
      </c>
      <c r="J27" s="116"/>
      <c r="K27" s="679">
        <v>39923932</v>
      </c>
      <c r="L27" s="679"/>
      <c r="M27" s="127"/>
      <c r="N27" s="137">
        <f>+I27-K27</f>
        <v>221553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6" t="s">
        <v>61</v>
      </c>
      <c r="F28" s="676"/>
      <c r="G28" s="676"/>
      <c r="H28" s="124"/>
      <c r="I28" s="232">
        <f>+I27/I32</f>
        <v>0.96472948826531113</v>
      </c>
      <c r="J28" s="127"/>
      <c r="K28" s="127"/>
      <c r="L28" s="127"/>
      <c r="M28" s="98"/>
      <c r="N28" s="463">
        <f>+N27/K27</f>
        <v>5.5493782526230134E-3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5" t="s">
        <v>101</v>
      </c>
      <c r="F31" s="686"/>
      <c r="G31" s="686"/>
      <c r="H31" s="686"/>
      <c r="I31" s="686"/>
      <c r="J31" s="687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0">
        <f>+'Main Table'!H573</f>
        <v>41613204</v>
      </c>
      <c r="J32" s="680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1">
        <f>+I27</f>
        <v>40145485</v>
      </c>
      <c r="J34" s="682"/>
      <c r="K34" s="22"/>
      <c r="L34" s="25">
        <f>+I34/$I$32</f>
        <v>0.96472948826531113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8">
        <f>+I21</f>
        <v>667030</v>
      </c>
      <c r="J35" s="689"/>
      <c r="K35" s="22"/>
      <c r="L35" s="25">
        <f>+I35/$I$32</f>
        <v>1.60292872425781E-2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7" t="s">
        <v>101</v>
      </c>
      <c r="F36" s="677"/>
      <c r="G36" s="677"/>
      <c r="H36" s="233"/>
      <c r="I36" s="683">
        <f>+I32-I34-I35</f>
        <v>800689</v>
      </c>
      <c r="J36" s="684"/>
      <c r="K36" s="259"/>
      <c r="L36" s="234">
        <f>+I36/$I$32</f>
        <v>1.9241224492110725E-2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5" t="s">
        <v>114</v>
      </c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7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8" t="s">
        <v>67</v>
      </c>
      <c r="F42" s="668"/>
      <c r="G42" s="668"/>
      <c r="H42" s="668"/>
      <c r="I42" s="260" t="s">
        <v>66</v>
      </c>
      <c r="J42" s="261"/>
      <c r="K42" s="669" t="s">
        <v>35</v>
      </c>
      <c r="L42" s="669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Table'!AP591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1" t="s">
        <v>47</v>
      </c>
      <c r="E48" s="692"/>
      <c r="F48" s="692"/>
      <c r="G48" s="692"/>
      <c r="H48" s="692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1" t="s">
        <v>44</v>
      </c>
      <c r="E50" s="692"/>
      <c r="F50" s="692"/>
      <c r="G50" s="692"/>
      <c r="H50" s="692"/>
      <c r="I50" s="340">
        <f>+I48+I49</f>
        <v>22172</v>
      </c>
      <c r="J50" s="336"/>
      <c r="K50" s="693">
        <v>30167</v>
      </c>
      <c r="L50" s="693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4" t="s">
        <v>61</v>
      </c>
      <c r="F51" s="694"/>
      <c r="G51" s="694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7" t="s">
        <v>115</v>
      </c>
      <c r="F54" s="658"/>
      <c r="G54" s="658"/>
      <c r="H54" s="658"/>
      <c r="I54" s="658"/>
      <c r="J54" s="659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5">
        <f>+K50</f>
        <v>30167</v>
      </c>
      <c r="J55" s="695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6">
        <f>+I50</f>
        <v>22172</v>
      </c>
      <c r="J57" s="697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8">
        <f>+I44</f>
        <v>1836</v>
      </c>
      <c r="J58" s="699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0" t="s">
        <v>101</v>
      </c>
      <c r="F59" s="700"/>
      <c r="G59" s="700"/>
      <c r="H59" s="267"/>
      <c r="I59" s="660">
        <f>+I55-I57-I58</f>
        <v>6159</v>
      </c>
      <c r="J59" s="701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2">
        <f>+I45</f>
        <v>1397</v>
      </c>
      <c r="J60" s="702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0">
        <f>+I59-I60</f>
        <v>4762</v>
      </c>
      <c r="J61" s="660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7" t="s">
        <v>104</v>
      </c>
      <c r="F64" s="658"/>
      <c r="G64" s="658"/>
      <c r="H64" s="658"/>
      <c r="I64" s="658"/>
      <c r="J64" s="658"/>
      <c r="K64" s="658"/>
      <c r="L64" s="658"/>
      <c r="M64" s="659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0">
        <v>11690000</v>
      </c>
      <c r="J65" s="690"/>
      <c r="K65" s="690"/>
      <c r="L65" s="690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6" t="s">
        <v>95</v>
      </c>
      <c r="G67" s="65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9" t="s">
        <v>118</v>
      </c>
      <c r="E72" s="720"/>
      <c r="F72" s="720"/>
      <c r="G72" s="720"/>
      <c r="H72" s="720"/>
      <c r="I72" s="720"/>
      <c r="J72" s="720"/>
      <c r="K72" s="720"/>
      <c r="L72" s="720"/>
      <c r="M72" s="720"/>
      <c r="N72" s="720"/>
      <c r="O72" s="721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2" t="s">
        <v>67</v>
      </c>
      <c r="F73" s="722"/>
      <c r="G73" s="722"/>
      <c r="H73" s="722"/>
      <c r="I73" s="355" t="s">
        <v>66</v>
      </c>
      <c r="J73" s="356"/>
      <c r="K73" s="723" t="s">
        <v>35</v>
      </c>
      <c r="L73" s="723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Table'!AP632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4" t="s">
        <v>47</v>
      </c>
      <c r="E79" s="725"/>
      <c r="F79" s="725"/>
      <c r="G79" s="725"/>
      <c r="H79" s="725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4" t="s">
        <v>44</v>
      </c>
      <c r="E81" s="725"/>
      <c r="F81" s="725"/>
      <c r="G81" s="725"/>
      <c r="H81" s="725"/>
      <c r="I81" s="370">
        <f>+I79+I80</f>
        <v>36684</v>
      </c>
      <c r="J81" s="363"/>
      <c r="K81" s="727">
        <v>48675</v>
      </c>
      <c r="L81" s="727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6" t="s">
        <v>61</v>
      </c>
      <c r="F82" s="726"/>
      <c r="G82" s="726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1.9241224492110725E-2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1.9241224492110725E-2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1.9241224492110725E-2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1.9241224492110725E-2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27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728">
        <v>938759</v>
      </c>
      <c r="X516" s="729"/>
      <c r="Y516" s="44">
        <v>3.0000000000000001E-3</v>
      </c>
      <c r="Z516" s="729"/>
      <c r="AA516" s="730">
        <f t="shared" ref="AA516" si="34">+W515-W516</f>
        <v>-56186</v>
      </c>
      <c r="AB516" s="729"/>
      <c r="AC516" s="731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728">
        <v>901303</v>
      </c>
      <c r="X517" s="729"/>
      <c r="Y517" s="44">
        <v>3.0000000000000001E-3</v>
      </c>
      <c r="Z517" s="729"/>
      <c r="AA517" s="730">
        <f t="shared" ref="AA517" si="35">+W516-W517</f>
        <v>37456</v>
      </c>
      <c r="AB517" s="729"/>
      <c r="AC517" s="731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728">
        <v>880622</v>
      </c>
      <c r="X518" s="729"/>
      <c r="Y518" s="44">
        <v>3.0000000000000001E-3</v>
      </c>
      <c r="Z518" s="729"/>
      <c r="AA518" s="730">
        <f t="shared" ref="AA518" si="36">+W517-W518</f>
        <v>20681</v>
      </c>
      <c r="AB518" s="729"/>
      <c r="AC518" s="731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728">
        <v>806626</v>
      </c>
      <c r="X519" s="729"/>
      <c r="Y519" s="44">
        <v>3.0000000000000001E-3</v>
      </c>
      <c r="Z519" s="729"/>
      <c r="AA519" s="730">
        <f t="shared" ref="AA519" si="37">+W518-W519</f>
        <v>73996</v>
      </c>
      <c r="AB519" s="729"/>
      <c r="AC519" s="731"/>
      <c r="AD519" s="251"/>
    </row>
    <row r="520" spans="15:31" x14ac:dyDescent="0.3">
      <c r="O520" s="98"/>
      <c r="T520" s="250"/>
      <c r="U520" s="252">
        <f t="shared" si="25"/>
        <v>44465</v>
      </c>
      <c r="V520" s="6"/>
      <c r="W520" s="728">
        <f>+I$36</f>
        <v>800689</v>
      </c>
      <c r="X520" s="729"/>
      <c r="Y520" s="44">
        <v>3.0000000000000001E-3</v>
      </c>
      <c r="Z520" s="729"/>
      <c r="AA520" s="730">
        <f t="shared" ref="AA520" si="38">+W519-W520</f>
        <v>5937</v>
      </c>
      <c r="AB520" s="729"/>
      <c r="AC520" s="731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728"/>
      <c r="X521" s="729"/>
      <c r="Y521" s="44"/>
      <c r="Z521" s="729"/>
      <c r="AA521" s="730"/>
      <c r="AB521" s="729"/>
      <c r="AC521" s="731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728"/>
      <c r="X522" s="729"/>
      <c r="Y522" s="44"/>
      <c r="Z522" s="729"/>
      <c r="AA522" s="730"/>
      <c r="AB522" s="729"/>
      <c r="AC522" s="731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728"/>
      <c r="X523" s="729"/>
      <c r="Y523" s="44"/>
      <c r="Z523" s="729"/>
      <c r="AA523" s="730"/>
      <c r="AB523" s="729"/>
      <c r="AC523" s="731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728"/>
      <c r="X524" s="729"/>
      <c r="Y524" s="44"/>
      <c r="Z524" s="729"/>
      <c r="AA524" s="730"/>
      <c r="AB524" s="729"/>
      <c r="AC524" s="731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253"/>
      <c r="X525" s="6"/>
      <c r="Y525" s="44"/>
      <c r="Z525" s="6"/>
      <c r="AA525" s="254"/>
      <c r="AB525" s="6"/>
      <c r="AC525" s="258"/>
      <c r="AD525" s="251"/>
      <c r="AE525" s="61"/>
    </row>
    <row r="526" spans="15:31" x14ac:dyDescent="0.3">
      <c r="O526" s="98"/>
      <c r="T526" s="250"/>
      <c r="U526" s="252">
        <f t="shared" si="25"/>
        <v>44471</v>
      </c>
      <c r="V526" s="6"/>
      <c r="W526" s="253"/>
      <c r="X526" s="6"/>
      <c r="Y526" s="44"/>
      <c r="Z526" s="6"/>
      <c r="AA526" s="254"/>
      <c r="AB526" s="6"/>
      <c r="AC526" s="258"/>
      <c r="AD526" s="251"/>
    </row>
    <row r="527" spans="15:31" ht="15" thickBot="1" x14ac:dyDescent="0.35">
      <c r="O527" s="98"/>
      <c r="T527" s="255"/>
      <c r="U527" s="350">
        <f t="shared" si="25"/>
        <v>44472</v>
      </c>
      <c r="V527" s="247"/>
      <c r="W527" s="351"/>
      <c r="X527" s="247"/>
      <c r="Y527" s="256"/>
      <c r="Z527" s="247"/>
      <c r="AA527" s="352"/>
      <c r="AB527" s="247"/>
      <c r="AC527" s="353"/>
      <c r="AD527" s="257"/>
    </row>
    <row r="528" spans="15:31" x14ac:dyDescent="0.3">
      <c r="O528" s="98"/>
    </row>
    <row r="529" spans="4:36" x14ac:dyDescent="0.3">
      <c r="O529" s="98"/>
      <c r="P529" s="57"/>
      <c r="Q529" s="57"/>
      <c r="R529" s="57"/>
    </row>
    <row r="530" spans="4:36" x14ac:dyDescent="0.3">
      <c r="O530" s="98"/>
    </row>
    <row r="531" spans="4:36" ht="15" thickBot="1" x14ac:dyDescent="0.35">
      <c r="O531" s="98"/>
    </row>
    <row r="532" spans="4:36" ht="15.6" thickTop="1" thickBot="1" x14ac:dyDescent="0.35">
      <c r="Q532" s="441"/>
      <c r="R532" s="442"/>
      <c r="S532" s="442"/>
      <c r="T532" s="442"/>
      <c r="U532" s="442"/>
      <c r="V532" s="442"/>
      <c r="W532" s="442"/>
      <c r="X532" s="442"/>
      <c r="Y532" s="442"/>
      <c r="Z532" s="442"/>
      <c r="AA532" s="442"/>
      <c r="AB532" s="443"/>
    </row>
    <row r="533" spans="4:36" ht="15" thickBot="1" x14ac:dyDescent="0.35">
      <c r="E533" s="706" t="s">
        <v>106</v>
      </c>
      <c r="F533" s="707"/>
      <c r="G533" s="707"/>
      <c r="H533" s="707"/>
      <c r="I533" s="707"/>
      <c r="J533" s="707"/>
      <c r="K533" s="707"/>
      <c r="L533" s="707"/>
      <c r="M533" s="708"/>
      <c r="Q533" s="444"/>
      <c r="R533" s="6"/>
      <c r="S533" s="6"/>
      <c r="T533" s="6"/>
      <c r="U533" s="5" t="s">
        <v>132</v>
      </c>
      <c r="V533" s="5"/>
      <c r="W533" s="5"/>
      <c r="X533" s="5"/>
      <c r="Y533" s="5"/>
      <c r="Z533" s="5"/>
      <c r="AA533" s="5" t="s">
        <v>28</v>
      </c>
      <c r="AB533" s="445"/>
    </row>
    <row r="534" spans="4:36" x14ac:dyDescent="0.3">
      <c r="E534" s="395"/>
      <c r="F534" s="396" t="s">
        <v>107</v>
      </c>
      <c r="G534" s="396"/>
      <c r="H534" s="396"/>
      <c r="I534" s="709">
        <v>21477737</v>
      </c>
      <c r="J534" s="709"/>
      <c r="K534" s="709"/>
      <c r="L534" s="709"/>
      <c r="M534" s="397"/>
      <c r="Q534" s="444"/>
      <c r="R534" s="437" t="s">
        <v>134</v>
      </c>
      <c r="S534" s="6"/>
      <c r="T534" s="6"/>
      <c r="U534" s="437" t="s">
        <v>133</v>
      </c>
      <c r="V534" s="5"/>
      <c r="W534" s="437" t="s">
        <v>20</v>
      </c>
      <c r="X534" s="5"/>
      <c r="Y534" s="437" t="s">
        <v>4</v>
      </c>
      <c r="Z534" s="5"/>
      <c r="AA534" s="446" t="s">
        <v>131</v>
      </c>
      <c r="AB534" s="445"/>
    </row>
    <row r="535" spans="4:36" x14ac:dyDescent="0.3">
      <c r="E535" s="395"/>
      <c r="F535" s="396" t="s">
        <v>97</v>
      </c>
      <c r="G535" s="396"/>
      <c r="H535" s="396"/>
      <c r="I535" s="396"/>
      <c r="J535" s="396"/>
      <c r="K535" s="396"/>
      <c r="L535" s="398">
        <f>+I547/I534</f>
        <v>4.5847474526762295E-4</v>
      </c>
      <c r="M535" s="397"/>
      <c r="Q535" s="444"/>
      <c r="R535" s="6" t="s">
        <v>121</v>
      </c>
      <c r="S535" s="6"/>
      <c r="T535" s="6"/>
      <c r="U535" s="7">
        <v>2003</v>
      </c>
      <c r="V535" s="6"/>
      <c r="W535" s="7">
        <v>389666</v>
      </c>
      <c r="X535" s="6"/>
      <c r="Y535" s="7">
        <v>31257</v>
      </c>
      <c r="Z535" s="6"/>
      <c r="AA535" s="253">
        <f>+AJ535</f>
        <v>19500</v>
      </c>
      <c r="AB535" s="445"/>
      <c r="AJ535" s="1">
        <v>19500</v>
      </c>
    </row>
    <row r="536" spans="4:36" x14ac:dyDescent="0.3">
      <c r="E536" s="395"/>
      <c r="F536" s="710" t="s">
        <v>95</v>
      </c>
      <c r="G536" s="710"/>
      <c r="H536" s="396"/>
      <c r="I536" s="396"/>
      <c r="J536" s="396"/>
      <c r="K536" s="396"/>
      <c r="L536" s="399">
        <f>+I547/(I534/100000)</f>
        <v>45.847474526762298</v>
      </c>
      <c r="M536" s="397"/>
      <c r="Q536" s="444"/>
      <c r="R536" s="6" t="s">
        <v>122</v>
      </c>
      <c r="S536" s="6"/>
      <c r="T536" s="6"/>
      <c r="U536" s="7">
        <v>1913</v>
      </c>
      <c r="V536" s="6"/>
      <c r="W536" s="7">
        <v>169892</v>
      </c>
      <c r="X536" s="6"/>
      <c r="Y536" s="7">
        <v>13076</v>
      </c>
      <c r="Z536" s="6"/>
      <c r="AA536" s="253">
        <f t="shared" ref="AA536:AA544" si="39">+AJ536</f>
        <v>8900</v>
      </c>
      <c r="AB536" s="445"/>
      <c r="AJ536" s="1">
        <v>8900</v>
      </c>
    </row>
    <row r="537" spans="4:36" x14ac:dyDescent="0.3">
      <c r="E537" s="395"/>
      <c r="F537" s="400"/>
      <c r="G537" s="400"/>
      <c r="H537" s="396"/>
      <c r="I537" s="396"/>
      <c r="J537" s="396"/>
      <c r="K537" s="396"/>
      <c r="L537" s="399"/>
      <c r="M537" s="397"/>
      <c r="Q537" s="444"/>
      <c r="R537" s="6" t="s">
        <v>123</v>
      </c>
      <c r="S537" s="6"/>
      <c r="T537" s="6"/>
      <c r="U537" s="7">
        <v>1568</v>
      </c>
      <c r="V537" s="6"/>
      <c r="W537" s="7">
        <v>16606</v>
      </c>
      <c r="X537" s="6"/>
      <c r="Y537" s="7">
        <v>912</v>
      </c>
      <c r="Z537" s="6"/>
      <c r="AA537" s="253">
        <f t="shared" si="39"/>
        <v>1100</v>
      </c>
      <c r="AB537" s="445"/>
      <c r="AJ537" s="1">
        <v>1100</v>
      </c>
    </row>
    <row r="538" spans="4:36" x14ac:dyDescent="0.3">
      <c r="E538" s="395"/>
      <c r="F538" s="400" t="s">
        <v>108</v>
      </c>
      <c r="G538" s="400"/>
      <c r="H538" s="710" t="s">
        <v>109</v>
      </c>
      <c r="I538" s="710"/>
      <c r="J538" s="396"/>
      <c r="K538" s="396"/>
      <c r="L538" s="399"/>
      <c r="M538" s="397"/>
      <c r="Q538" s="444"/>
      <c r="R538" s="6" t="s">
        <v>56</v>
      </c>
      <c r="S538" s="6"/>
      <c r="T538" s="6"/>
      <c r="U538" s="7">
        <v>1561</v>
      </c>
      <c r="V538" s="6"/>
      <c r="W538" s="7">
        <v>107611</v>
      </c>
      <c r="X538" s="6"/>
      <c r="Y538" s="7">
        <v>7937</v>
      </c>
      <c r="Z538" s="6"/>
      <c r="AA538" s="253">
        <f t="shared" si="39"/>
        <v>7000</v>
      </c>
      <c r="AB538" s="445"/>
      <c r="AJ538" s="1">
        <v>7000</v>
      </c>
    </row>
    <row r="539" spans="4:36" ht="15" thickBot="1" x14ac:dyDescent="0.35">
      <c r="E539" s="401"/>
      <c r="F539" s="402"/>
      <c r="G539" s="402"/>
      <c r="H539" s="402"/>
      <c r="I539" s="402"/>
      <c r="J539" s="402"/>
      <c r="K539" s="402"/>
      <c r="L539" s="402"/>
      <c r="M539" s="403"/>
      <c r="Q539" s="444"/>
      <c r="R539" s="6" t="s">
        <v>128</v>
      </c>
      <c r="S539" s="6"/>
      <c r="T539" s="6"/>
      <c r="U539" s="7">
        <v>1435</v>
      </c>
      <c r="V539" s="6"/>
      <c r="W539" s="7">
        <v>10128</v>
      </c>
      <c r="X539" s="6"/>
      <c r="Y539" s="7">
        <v>541</v>
      </c>
      <c r="Z539" s="6"/>
      <c r="AA539" s="253">
        <f t="shared" si="39"/>
        <v>700</v>
      </c>
      <c r="AB539" s="445"/>
      <c r="AJ539" s="1">
        <v>700</v>
      </c>
    </row>
    <row r="540" spans="4:36" x14ac:dyDescent="0.3">
      <c r="Q540" s="444"/>
      <c r="R540" s="6" t="s">
        <v>124</v>
      </c>
      <c r="S540" s="6"/>
      <c r="T540" s="6"/>
      <c r="U540" s="7">
        <v>1288</v>
      </c>
      <c r="V540" s="6"/>
      <c r="W540" s="7">
        <v>45913</v>
      </c>
      <c r="X540" s="6"/>
      <c r="Y540" s="7">
        <v>4287</v>
      </c>
      <c r="Z540" s="6"/>
      <c r="AA540" s="253">
        <f t="shared" si="39"/>
        <v>3600</v>
      </c>
      <c r="AB540" s="445"/>
      <c r="AJ540" s="1">
        <v>3600</v>
      </c>
    </row>
    <row r="541" spans="4:36" ht="15" thickBot="1" x14ac:dyDescent="0.35">
      <c r="D541" s="78"/>
      <c r="E541" s="139"/>
      <c r="F541" s="139"/>
      <c r="G541" s="139"/>
      <c r="H541" s="139"/>
      <c r="I541" s="310"/>
      <c r="J541" s="78"/>
      <c r="K541" s="98"/>
      <c r="L541" s="98"/>
      <c r="M541" s="98"/>
      <c r="N541" s="98"/>
      <c r="Q541" s="444"/>
      <c r="R541" s="6" t="s">
        <v>129</v>
      </c>
      <c r="S541" s="6"/>
      <c r="T541" s="6"/>
      <c r="U541" s="7">
        <v>1129</v>
      </c>
      <c r="V541" s="6"/>
      <c r="W541" s="7">
        <v>52477</v>
      </c>
      <c r="X541" s="6"/>
      <c r="Y541" s="7">
        <v>3152</v>
      </c>
      <c r="Z541" s="6"/>
      <c r="AA541" s="253">
        <f t="shared" si="39"/>
        <v>4600</v>
      </c>
      <c r="AB541" s="445"/>
      <c r="AJ541" s="1">
        <v>4600</v>
      </c>
    </row>
    <row r="542" spans="4:36" ht="16.2" thickBot="1" x14ac:dyDescent="0.35">
      <c r="D542" s="381"/>
      <c r="E542" s="711" t="s">
        <v>119</v>
      </c>
      <c r="F542" s="712"/>
      <c r="G542" s="712"/>
      <c r="H542" s="712"/>
      <c r="I542" s="712"/>
      <c r="J542" s="713"/>
      <c r="K542" s="382"/>
      <c r="L542" s="394" t="s">
        <v>10</v>
      </c>
      <c r="M542" s="383"/>
      <c r="N542" s="98"/>
      <c r="Q542" s="444"/>
      <c r="R542" s="6" t="s">
        <v>125</v>
      </c>
      <c r="S542" s="6"/>
      <c r="T542" s="6"/>
      <c r="U542" s="7">
        <v>1118</v>
      </c>
      <c r="V542" s="6"/>
      <c r="W542" s="7">
        <v>10889</v>
      </c>
      <c r="X542" s="6"/>
      <c r="Y542" s="7">
        <v>505</v>
      </c>
      <c r="Z542" s="6"/>
      <c r="AA542" s="253">
        <f t="shared" si="39"/>
        <v>980</v>
      </c>
      <c r="AB542" s="445"/>
      <c r="AJ542" s="1">
        <v>980</v>
      </c>
    </row>
    <row r="543" spans="4:36" x14ac:dyDescent="0.3">
      <c r="D543" s="360"/>
      <c r="E543" s="384" t="s">
        <v>75</v>
      </c>
      <c r="F543" s="16"/>
      <c r="G543" s="16"/>
      <c r="H543" s="16"/>
      <c r="I543" s="714">
        <f>+K81</f>
        <v>48675</v>
      </c>
      <c r="J543" s="714"/>
      <c r="K543" s="16"/>
      <c r="L543" s="60">
        <f>+I543/$I$543</f>
        <v>1</v>
      </c>
      <c r="M543" s="385"/>
      <c r="N543" s="98"/>
      <c r="Q543" s="444"/>
      <c r="R543" s="6" t="s">
        <v>126</v>
      </c>
      <c r="S543" s="6"/>
      <c r="T543" s="6"/>
      <c r="U543" s="7">
        <v>1093</v>
      </c>
      <c r="V543" s="6"/>
      <c r="W543" s="7">
        <v>138546</v>
      </c>
      <c r="X543" s="6"/>
      <c r="Y543" s="7">
        <v>6770</v>
      </c>
      <c r="Z543" s="6"/>
      <c r="AA543" s="253">
        <f t="shared" si="39"/>
        <v>12700</v>
      </c>
      <c r="AB543" s="445"/>
      <c r="AJ543" s="1">
        <v>12700</v>
      </c>
    </row>
    <row r="544" spans="4:36" x14ac:dyDescent="0.3">
      <c r="D544" s="360"/>
      <c r="E544" s="384"/>
      <c r="F544" s="16"/>
      <c r="G544" s="16"/>
      <c r="H544" s="16"/>
      <c r="I544" s="16"/>
      <c r="J544" s="16"/>
      <c r="K544" s="16"/>
      <c r="L544" s="16"/>
      <c r="M544" s="385"/>
      <c r="N544" s="98"/>
      <c r="Q544" s="444"/>
      <c r="R544" s="6" t="s">
        <v>127</v>
      </c>
      <c r="S544" s="6"/>
      <c r="T544" s="6"/>
      <c r="U544" s="447">
        <v>1081</v>
      </c>
      <c r="V544" s="6"/>
      <c r="W544" s="447">
        <v>65337</v>
      </c>
      <c r="X544" s="6"/>
      <c r="Y544" s="447">
        <v>3108</v>
      </c>
      <c r="Z544" s="6"/>
      <c r="AA544" s="448">
        <f t="shared" si="39"/>
        <v>6100</v>
      </c>
      <c r="AB544" s="445"/>
      <c r="AJ544" s="439">
        <v>6100</v>
      </c>
    </row>
    <row r="545" spans="4:36" x14ac:dyDescent="0.3">
      <c r="D545" s="372"/>
      <c r="E545" s="15"/>
      <c r="F545" s="386" t="s">
        <v>100</v>
      </c>
      <c r="G545" s="386"/>
      <c r="H545" s="15"/>
      <c r="I545" s="715">
        <f>+I81</f>
        <v>36684</v>
      </c>
      <c r="J545" s="716"/>
      <c r="K545" s="15"/>
      <c r="L545" s="60">
        <f>+I545/$I$543</f>
        <v>0.75365177195685673</v>
      </c>
      <c r="M545" s="365"/>
      <c r="N545" s="98"/>
      <c r="Q545" s="444"/>
      <c r="R545" s="5" t="s">
        <v>31</v>
      </c>
      <c r="S545" s="6"/>
      <c r="T545" s="6"/>
      <c r="U545" s="253">
        <f>+W545/(AA545/100)</f>
        <v>1545.0521632402579</v>
      </c>
      <c r="V545" s="6"/>
      <c r="W545" s="253">
        <f>SUM(W535:W544)</f>
        <v>1007065</v>
      </c>
      <c r="X545" s="6"/>
      <c r="Y545" s="253">
        <f>SUM(Y535:Y544)</f>
        <v>71545</v>
      </c>
      <c r="Z545" s="6"/>
      <c r="AA545" s="253">
        <f>SUM(AA535:AA544)</f>
        <v>65180</v>
      </c>
      <c r="AB545" s="445"/>
      <c r="AJ545" s="56">
        <f>SUM(AJ535:AJ544)</f>
        <v>65180</v>
      </c>
    </row>
    <row r="546" spans="4:36" x14ac:dyDescent="0.3">
      <c r="D546" s="372"/>
      <c r="E546" s="15"/>
      <c r="F546" s="15" t="s">
        <v>76</v>
      </c>
      <c r="G546" s="15"/>
      <c r="H546" s="15"/>
      <c r="I546" s="717">
        <f>+I75</f>
        <v>2144</v>
      </c>
      <c r="J546" s="718"/>
      <c r="K546" s="15"/>
      <c r="L546" s="60">
        <f>+I546/$I$543</f>
        <v>4.4047252182845401E-2</v>
      </c>
      <c r="M546" s="365"/>
      <c r="N546" s="98"/>
      <c r="Q546" s="444"/>
      <c r="R546" s="5"/>
      <c r="S546" s="6"/>
      <c r="T546" s="6"/>
      <c r="U546" s="6"/>
      <c r="V546" s="6"/>
      <c r="W546" s="253"/>
      <c r="X546" s="6"/>
      <c r="Y546" s="253"/>
      <c r="Z546" s="6"/>
      <c r="AA546" s="6"/>
      <c r="AB546" s="445"/>
      <c r="AJ546" s="56"/>
    </row>
    <row r="547" spans="4:36" ht="15" thickBot="1" x14ac:dyDescent="0.35">
      <c r="D547" s="372"/>
      <c r="E547" s="703" t="s">
        <v>101</v>
      </c>
      <c r="F547" s="703"/>
      <c r="G547" s="703"/>
      <c r="H547" s="15"/>
      <c r="I547" s="704">
        <f>+I543-I545-I546</f>
        <v>9847</v>
      </c>
      <c r="J547" s="705"/>
      <c r="K547" s="387"/>
      <c r="L547" s="388">
        <f>+I547/$I$543</f>
        <v>0.20230097586029788</v>
      </c>
      <c r="M547" s="365"/>
      <c r="N547" s="98"/>
      <c r="Q547" s="444"/>
      <c r="R547" s="5" t="s">
        <v>57</v>
      </c>
      <c r="S547" s="6"/>
      <c r="T547" s="6"/>
      <c r="U547" s="7">
        <v>7441</v>
      </c>
      <c r="V547" s="6"/>
      <c r="W547" s="7">
        <f>+'Main Table'!H106</f>
        <v>3029734</v>
      </c>
      <c r="X547" s="6"/>
      <c r="Y547" s="7">
        <f>+'Main Table'!AA106</f>
        <v>129682</v>
      </c>
      <c r="Z547" s="6"/>
      <c r="AA547" s="253">
        <f>+AJ547</f>
        <v>333000</v>
      </c>
      <c r="AB547" s="445"/>
      <c r="AJ547" s="56">
        <v>333000</v>
      </c>
    </row>
    <row r="548" spans="4:36" ht="15.6" thickTop="1" thickBot="1" x14ac:dyDescent="0.35">
      <c r="D548" s="372"/>
      <c r="E548" s="389"/>
      <c r="F548" s="389"/>
      <c r="G548" s="389"/>
      <c r="H548" s="15"/>
      <c r="I548" s="390"/>
      <c r="J548" s="389"/>
      <c r="K548" s="387"/>
      <c r="L548" s="391"/>
      <c r="M548" s="365"/>
      <c r="N548" s="98"/>
      <c r="Q548" s="444"/>
      <c r="R548" s="5" t="s">
        <v>130</v>
      </c>
      <c r="S548" s="6"/>
      <c r="T548" s="6"/>
      <c r="U548" s="449"/>
      <c r="V548" s="6"/>
      <c r="W548" s="450">
        <f>+W545/W547</f>
        <v>0.33239386692033029</v>
      </c>
      <c r="X548" s="6"/>
      <c r="Y548" s="450">
        <f>+Y545/Y547</f>
        <v>0.55169568637127742</v>
      </c>
      <c r="Z548" s="6"/>
      <c r="AA548" s="450">
        <f>+AA545/AA547</f>
        <v>0.19573573573573574</v>
      </c>
      <c r="AB548" s="445"/>
      <c r="AJ548" s="440">
        <f>+AJ545/AJ547</f>
        <v>0.19573573573573574</v>
      </c>
    </row>
    <row r="549" spans="4:36" ht="15.6" thickTop="1" thickBot="1" x14ac:dyDescent="0.35">
      <c r="D549" s="392"/>
      <c r="E549" s="393"/>
      <c r="F549" s="393"/>
      <c r="G549" s="393"/>
      <c r="H549" s="393"/>
      <c r="I549" s="393"/>
      <c r="J549" s="393"/>
      <c r="K549" s="393"/>
      <c r="L549" s="393"/>
      <c r="M549" s="380"/>
      <c r="N549" s="98"/>
      <c r="Q549" s="451"/>
      <c r="R549" s="452"/>
      <c r="S549" s="452"/>
      <c r="T549" s="452"/>
      <c r="U549" s="452"/>
      <c r="V549" s="452"/>
      <c r="W549" s="452"/>
      <c r="X549" s="452"/>
      <c r="Y549" s="452"/>
      <c r="Z549" s="452"/>
      <c r="AA549" s="452"/>
      <c r="AB549" s="453"/>
    </row>
    <row r="553" spans="4:36" x14ac:dyDescent="0.3">
      <c r="F553" s="1">
        <v>1248371</v>
      </c>
    </row>
    <row r="554" spans="4:36" x14ac:dyDescent="0.3">
      <c r="W554" s="1"/>
    </row>
    <row r="555" spans="4:36" x14ac:dyDescent="0.3">
      <c r="F555">
        <v>700</v>
      </c>
    </row>
    <row r="556" spans="4:36" x14ac:dyDescent="0.3">
      <c r="F556" s="76">
        <f>+F555/F553</f>
        <v>5.6073074430597954E-4</v>
      </c>
    </row>
    <row r="558" spans="4:36" x14ac:dyDescent="0.3">
      <c r="F558" s="1">
        <v>60000</v>
      </c>
    </row>
    <row r="559" spans="4:36" x14ac:dyDescent="0.3">
      <c r="F559">
        <f>+F556*F558</f>
        <v>33.643844658358773</v>
      </c>
    </row>
    <row r="561" spans="6:6" x14ac:dyDescent="0.3">
      <c r="F561" s="1">
        <v>331000000</v>
      </c>
    </row>
    <row r="562" spans="6:6" x14ac:dyDescent="0.3">
      <c r="F562" s="56">
        <f>+W86</f>
        <v>811067</v>
      </c>
    </row>
    <row r="563" spans="6:6" x14ac:dyDescent="0.3">
      <c r="F563" s="57">
        <f>+F562/F561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547:G547"/>
    <mergeCell ref="I547:J547"/>
    <mergeCell ref="E533:M533"/>
    <mergeCell ref="I534:L534"/>
    <mergeCell ref="F536:G536"/>
    <mergeCell ref="E542:J542"/>
    <mergeCell ref="I543:J543"/>
    <mergeCell ref="I545:J545"/>
    <mergeCell ref="I546:J546"/>
    <mergeCell ref="H538:I53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2021-09-27T23:48:40Z</dcterms:modified>
</cp:coreProperties>
</file>