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612D7FC2-273C-42D6-8244-2D6E9396EFAB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Table'!$A$1:$CJ$211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210" i="1" l="1"/>
  <c r="BQ210" i="1"/>
  <c r="BP210" i="1"/>
  <c r="BN210" i="1"/>
  <c r="BK210" i="1"/>
  <c r="BJ210" i="1"/>
  <c r="BI210" i="1"/>
  <c r="BH210" i="1"/>
  <c r="BF210" i="1"/>
  <c r="BC210" i="1"/>
  <c r="BB210" i="1"/>
  <c r="BA210" i="1"/>
  <c r="AZ210" i="1"/>
  <c r="AX210" i="1"/>
  <c r="AU210" i="1"/>
  <c r="AT210" i="1"/>
  <c r="AS210" i="1"/>
  <c r="AR210" i="1"/>
  <c r="AP210" i="1"/>
  <c r="AM210" i="1"/>
  <c r="AL210" i="1"/>
  <c r="AK210" i="1"/>
  <c r="AJ210" i="1"/>
  <c r="AH210" i="1"/>
  <c r="AE210" i="1"/>
  <c r="AD210" i="1"/>
  <c r="AC210" i="1"/>
  <c r="AB210" i="1"/>
  <c r="Z210" i="1"/>
  <c r="W210" i="1"/>
  <c r="V210" i="1"/>
  <c r="U210" i="1"/>
  <c r="T210" i="1"/>
  <c r="R210" i="1"/>
  <c r="O210" i="1"/>
  <c r="N210" i="1"/>
  <c r="M210" i="1"/>
  <c r="L210" i="1"/>
  <c r="J210" i="1"/>
  <c r="BR209" i="1"/>
  <c r="BQ209" i="1"/>
  <c r="BP209" i="1"/>
  <c r="BO209" i="1"/>
  <c r="BO210" i="1" s="1"/>
  <c r="BN209" i="1"/>
  <c r="BM209" i="1"/>
  <c r="BM210" i="1" s="1"/>
  <c r="BL209" i="1"/>
  <c r="BL210" i="1" s="1"/>
  <c r="BK209" i="1"/>
  <c r="BJ209" i="1"/>
  <c r="BI209" i="1"/>
  <c r="BH209" i="1"/>
  <c r="BG209" i="1"/>
  <c r="BG210" i="1" s="1"/>
  <c r="BF209" i="1"/>
  <c r="BE209" i="1"/>
  <c r="BE210" i="1" s="1"/>
  <c r="BD209" i="1"/>
  <c r="BD210" i="1" s="1"/>
  <c r="BC209" i="1"/>
  <c r="BB209" i="1"/>
  <c r="BA209" i="1"/>
  <c r="AZ209" i="1"/>
  <c r="AY209" i="1"/>
  <c r="AY210" i="1" s="1"/>
  <c r="AX209" i="1"/>
  <c r="AW209" i="1"/>
  <c r="AW210" i="1" s="1"/>
  <c r="AV209" i="1"/>
  <c r="AV210" i="1" s="1"/>
  <c r="AU209" i="1"/>
  <c r="AT209" i="1"/>
  <c r="AS209" i="1"/>
  <c r="AR209" i="1"/>
  <c r="AQ209" i="1"/>
  <c r="AQ210" i="1" s="1"/>
  <c r="AP209" i="1"/>
  <c r="AO209" i="1"/>
  <c r="AO210" i="1" s="1"/>
  <c r="AN209" i="1"/>
  <c r="AN210" i="1" s="1"/>
  <c r="AM209" i="1"/>
  <c r="AL209" i="1"/>
  <c r="AK209" i="1"/>
  <c r="AJ209" i="1"/>
  <c r="AI209" i="1"/>
  <c r="AI210" i="1" s="1"/>
  <c r="AH209" i="1"/>
  <c r="AG209" i="1"/>
  <c r="AG210" i="1" s="1"/>
  <c r="AF209" i="1"/>
  <c r="AF210" i="1" s="1"/>
  <c r="AE209" i="1"/>
  <c r="AD209" i="1"/>
  <c r="AC209" i="1"/>
  <c r="AB209" i="1"/>
  <c r="AA209" i="1"/>
  <c r="AA210" i="1" s="1"/>
  <c r="Z209" i="1"/>
  <c r="Y209" i="1"/>
  <c r="Y210" i="1" s="1"/>
  <c r="X209" i="1"/>
  <c r="X210" i="1" s="1"/>
  <c r="W209" i="1"/>
  <c r="V209" i="1"/>
  <c r="U209" i="1"/>
  <c r="T209" i="1"/>
  <c r="S209" i="1"/>
  <c r="S210" i="1" s="1"/>
  <c r="R209" i="1"/>
  <c r="Q209" i="1"/>
  <c r="Q210" i="1" s="1"/>
  <c r="P209" i="1"/>
  <c r="P210" i="1" s="1"/>
  <c r="O209" i="1"/>
  <c r="N209" i="1"/>
  <c r="M209" i="1"/>
  <c r="L209" i="1"/>
  <c r="K209" i="1"/>
  <c r="K210" i="1" s="1"/>
  <c r="J209" i="1"/>
  <c r="I209" i="1"/>
  <c r="I210" i="1" s="1"/>
  <c r="H209" i="1"/>
  <c r="H210" i="1" s="1"/>
  <c r="D210" i="1"/>
  <c r="D209" i="1"/>
  <c r="BW202" i="1"/>
  <c r="BN202" i="1" s="1"/>
  <c r="BE202" i="1"/>
  <c r="BP202" i="1" s="1"/>
  <c r="BR202" i="1" s="1"/>
  <c r="BA202" i="1"/>
  <c r="BK202" i="1" s="1"/>
  <c r="BM202" i="1" s="1"/>
  <c r="AX202" i="1"/>
  <c r="AL202" i="1"/>
  <c r="AR202" i="1" s="1"/>
  <c r="AG202" i="1"/>
  <c r="AI202" i="1" s="1"/>
  <c r="AE202" i="1"/>
  <c r="AA202" i="1"/>
  <c r="V202" i="1"/>
  <c r="N202" i="1"/>
  <c r="J202" i="1"/>
  <c r="H202" i="1"/>
  <c r="AV202" i="1" s="1"/>
  <c r="S203" i="2"/>
  <c r="S211" i="2" s="1"/>
  <c r="T211" i="2"/>
  <c r="R211" i="2"/>
  <c r="P211" i="2"/>
  <c r="O211" i="2"/>
  <c r="N211" i="2"/>
  <c r="L211" i="2"/>
  <c r="J211" i="2"/>
  <c r="I211" i="2"/>
  <c r="H211" i="2"/>
  <c r="G211" i="2"/>
  <c r="E211" i="2"/>
  <c r="W203" i="2"/>
  <c r="K203" i="2"/>
  <c r="M203" i="2" s="1"/>
  <c r="M211" i="2" s="1"/>
  <c r="I20" i="3"/>
  <c r="U157" i="3"/>
  <c r="U158" i="3" s="1"/>
  <c r="U159" i="3" s="1"/>
  <c r="U160" i="3" s="1"/>
  <c r="U161" i="3" s="1"/>
  <c r="U162" i="3" s="1"/>
  <c r="U163" i="3" s="1"/>
  <c r="BK215" i="1"/>
  <c r="BK214" i="1"/>
  <c r="BK212" i="1"/>
  <c r="AP258" i="1"/>
  <c r="S202" i="2"/>
  <c r="BW201" i="1"/>
  <c r="AX201" i="1" s="1"/>
  <c r="BE201" i="1"/>
  <c r="BP201" i="1" s="1"/>
  <c r="BR201" i="1" s="1"/>
  <c r="BA201" i="1"/>
  <c r="BK201" i="1" s="1"/>
  <c r="BM201" i="1" s="1"/>
  <c r="AL201" i="1"/>
  <c r="AR201" i="1" s="1"/>
  <c r="AG201" i="1"/>
  <c r="AI201" i="1" s="1"/>
  <c r="AA201" i="1"/>
  <c r="AE201" i="1" s="1"/>
  <c r="V201" i="1"/>
  <c r="N201" i="1"/>
  <c r="J201" i="1"/>
  <c r="H201" i="1"/>
  <c r="AV201" i="1" s="1"/>
  <c r="W202" i="2"/>
  <c r="K202" i="2"/>
  <c r="Q202" i="2" s="1"/>
  <c r="C202" i="2"/>
  <c r="C203" i="2" s="1"/>
  <c r="C204" i="2" s="1"/>
  <c r="C205" i="2" s="1"/>
  <c r="C206" i="2" s="1"/>
  <c r="C207" i="2" s="1"/>
  <c r="C208" i="2" s="1"/>
  <c r="AH202" i="1" l="1"/>
  <c r="AC202" i="1"/>
  <c r="BG202" i="1"/>
  <c r="O202" i="1"/>
  <c r="U203" i="2"/>
  <c r="U211" i="2" s="1"/>
  <c r="K211" i="2"/>
  <c r="Q203" i="2"/>
  <c r="Q211" i="2" s="1"/>
  <c r="W204" i="2"/>
  <c r="W205" i="2" s="1"/>
  <c r="W206" i="2" s="1"/>
  <c r="W207" i="2" s="1"/>
  <c r="W208" i="2" s="1"/>
  <c r="W209" i="2" s="1"/>
  <c r="AC201" i="1"/>
  <c r="BG201" i="1"/>
  <c r="O201" i="1"/>
  <c r="BN201" i="1"/>
  <c r="U202" i="2"/>
  <c r="M202" i="2"/>
  <c r="AH201" i="1" l="1"/>
  <c r="BW200" i="1"/>
  <c r="AX200" i="1" s="1"/>
  <c r="BE200" i="1"/>
  <c r="BG200" i="1" s="1"/>
  <c r="BA200" i="1"/>
  <c r="BK200" i="1" s="1"/>
  <c r="BM200" i="1" s="1"/>
  <c r="AL200" i="1"/>
  <c r="AR200" i="1" s="1"/>
  <c r="AG200" i="1"/>
  <c r="AI200" i="1" s="1"/>
  <c r="AA200" i="1"/>
  <c r="AC200" i="1" s="1"/>
  <c r="V200" i="1"/>
  <c r="N200" i="1"/>
  <c r="J200" i="1"/>
  <c r="H200" i="1"/>
  <c r="O200" i="1" s="1"/>
  <c r="S201" i="2"/>
  <c r="U201" i="2"/>
  <c r="K201" i="2"/>
  <c r="Q201" i="2" s="1"/>
  <c r="BP200" i="1" l="1"/>
  <c r="BR200" i="1" s="1"/>
  <c r="AV200" i="1"/>
  <c r="AE200" i="1"/>
  <c r="BN200" i="1"/>
  <c r="M201" i="2"/>
  <c r="S200" i="2" l="1"/>
  <c r="H114" i="1" l="1"/>
  <c r="AA114" i="1"/>
  <c r="AH200" i="1" l="1"/>
  <c r="BW199" i="1"/>
  <c r="BN199" i="1" s="1"/>
  <c r="BE199" i="1"/>
  <c r="BA199" i="1"/>
  <c r="BK199" i="1" s="1"/>
  <c r="BM199" i="1" s="1"/>
  <c r="AX199" i="1"/>
  <c r="AL199" i="1"/>
  <c r="AR199" i="1" s="1"/>
  <c r="AG199" i="1"/>
  <c r="AI199" i="1" s="1"/>
  <c r="V199" i="1"/>
  <c r="N199" i="1"/>
  <c r="K200" i="2"/>
  <c r="Q200" i="2" s="1"/>
  <c r="B207" i="1"/>
  <c r="S199" i="2"/>
  <c r="U200" i="2" l="1"/>
  <c r="AH199" i="1"/>
  <c r="BG199" i="1"/>
  <c r="M200" i="2"/>
  <c r="BW198" i="1" l="1"/>
  <c r="BN198" i="1"/>
  <c r="BE198" i="1"/>
  <c r="BA198" i="1"/>
  <c r="BK198" i="1" s="1"/>
  <c r="BM198" i="1" s="1"/>
  <c r="AX198" i="1"/>
  <c r="AL198" i="1"/>
  <c r="AR198" i="1" s="1"/>
  <c r="AG198" i="1"/>
  <c r="AI198" i="1" s="1"/>
  <c r="V198" i="1"/>
  <c r="N198" i="1"/>
  <c r="V211" i="2"/>
  <c r="K199" i="2"/>
  <c r="Q199" i="2" s="1"/>
  <c r="BG198" i="1" l="1"/>
  <c r="U199" i="2"/>
  <c r="M199" i="2"/>
  <c r="BN197" i="1"/>
  <c r="BE197" i="1"/>
  <c r="BG197" i="1" s="1"/>
  <c r="BA197" i="1"/>
  <c r="BK197" i="1" s="1"/>
  <c r="BM197" i="1" s="1"/>
  <c r="AX197" i="1"/>
  <c r="AL197" i="1"/>
  <c r="AR197" i="1" s="1"/>
  <c r="AG197" i="1"/>
  <c r="AI197" i="1" s="1"/>
  <c r="V197" i="1"/>
  <c r="N197" i="1"/>
  <c r="S198" i="2"/>
  <c r="U198" i="2"/>
  <c r="K198" i="2"/>
  <c r="M198" i="2" s="1"/>
  <c r="Q198" i="2" l="1"/>
  <c r="S197" i="2"/>
  <c r="K197" i="2"/>
  <c r="Q197" i="2" s="1"/>
  <c r="AG196" i="1"/>
  <c r="AI196" i="1" s="1"/>
  <c r="BN196" i="1"/>
  <c r="BE196" i="1"/>
  <c r="BA196" i="1"/>
  <c r="BK196" i="1" s="1"/>
  <c r="BM196" i="1" s="1"/>
  <c r="AX196" i="1"/>
  <c r="AL196" i="1"/>
  <c r="V196" i="1"/>
  <c r="N196" i="1"/>
  <c r="BW196" i="1"/>
  <c r="BW197" i="1" s="1"/>
  <c r="BW203" i="1" s="1"/>
  <c r="BW204" i="1" s="1"/>
  <c r="BW205" i="1" s="1"/>
  <c r="BW206" i="1" s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AH198" i="1" l="1"/>
  <c r="AH197" i="1"/>
  <c r="U197" i="2"/>
  <c r="M197" i="2"/>
  <c r="AR196" i="1"/>
  <c r="BG196" i="1"/>
  <c r="AH196" i="1"/>
  <c r="BE195" i="1"/>
  <c r="BA195" i="1"/>
  <c r="BK195" i="1" s="1"/>
  <c r="BM195" i="1" s="1"/>
  <c r="AL195" i="1"/>
  <c r="AR195" i="1" s="1"/>
  <c r="AG195" i="1"/>
  <c r="AI195" i="1" s="1"/>
  <c r="N195" i="1"/>
  <c r="BE194" i="1"/>
  <c r="BA194" i="1"/>
  <c r="BK194" i="1" s="1"/>
  <c r="BM194" i="1" s="1"/>
  <c r="AL194" i="1"/>
  <c r="AR194" i="1" s="1"/>
  <c r="AG194" i="1"/>
  <c r="AI194" i="1" s="1"/>
  <c r="N194" i="1"/>
  <c r="S196" i="2"/>
  <c r="K196" i="2"/>
  <c r="M196" i="2" s="1"/>
  <c r="AH195" i="1" l="1"/>
  <c r="BG195" i="1"/>
  <c r="BG194" i="1"/>
  <c r="U196" i="2"/>
  <c r="Q196" i="2"/>
  <c r="S195" i="2"/>
  <c r="K195" i="2"/>
  <c r="Q195" i="2" s="1"/>
  <c r="G210" i="1"/>
  <c r="G209" i="1"/>
  <c r="F209" i="1"/>
  <c r="F210" i="1" s="1"/>
  <c r="E209" i="1"/>
  <c r="E210" i="1" s="1"/>
  <c r="AH194" i="1"/>
  <c r="BE193" i="1"/>
  <c r="BA193" i="1"/>
  <c r="AR193" i="1"/>
  <c r="AL193" i="1"/>
  <c r="AG193" i="1"/>
  <c r="N193" i="1"/>
  <c r="S194" i="2"/>
  <c r="K194" i="2"/>
  <c r="M194" i="2" s="1"/>
  <c r="BK192" i="1"/>
  <c r="BM192" i="1" s="1"/>
  <c r="BE192" i="1"/>
  <c r="BA192" i="1"/>
  <c r="AL192" i="1"/>
  <c r="AR192" i="1" s="1"/>
  <c r="AG192" i="1"/>
  <c r="N192" i="1"/>
  <c r="S193" i="2"/>
  <c r="K193" i="2"/>
  <c r="Q193" i="2" s="1"/>
  <c r="U195" i="2" l="1"/>
  <c r="M195" i="2"/>
  <c r="BG193" i="1"/>
  <c r="BK193" i="1"/>
  <c r="AI193" i="1"/>
  <c r="AH193" i="1"/>
  <c r="U194" i="2"/>
  <c r="Q194" i="2"/>
  <c r="BG192" i="1"/>
  <c r="AI192" i="1"/>
  <c r="AH192" i="1"/>
  <c r="U193" i="2"/>
  <c r="M193" i="2"/>
  <c r="BM193" i="1" l="1"/>
  <c r="S192" i="2" l="1"/>
  <c r="BE191" i="1" l="1"/>
  <c r="BA191" i="1"/>
  <c r="BK191" i="1" s="1"/>
  <c r="BM191" i="1" s="1"/>
  <c r="AL191" i="1"/>
  <c r="AR191" i="1" s="1"/>
  <c r="AG191" i="1"/>
  <c r="AI191" i="1" s="1"/>
  <c r="N191" i="1"/>
  <c r="BG191" i="1" l="1"/>
  <c r="K192" i="2"/>
  <c r="M192" i="2" s="1"/>
  <c r="AH191" i="1"/>
  <c r="BE190" i="1"/>
  <c r="BA190" i="1"/>
  <c r="BK190" i="1" s="1"/>
  <c r="BM190" i="1" s="1"/>
  <c r="AR190" i="1"/>
  <c r="AL190" i="1"/>
  <c r="AG190" i="1"/>
  <c r="AI190" i="1" s="1"/>
  <c r="N190" i="1"/>
  <c r="S191" i="2"/>
  <c r="K191" i="2"/>
  <c r="M191" i="2" s="1"/>
  <c r="S190" i="2"/>
  <c r="U192" i="2" l="1"/>
  <c r="Q192" i="2"/>
  <c r="BG190" i="1"/>
  <c r="U191" i="2"/>
  <c r="Q191" i="2"/>
  <c r="AH190" i="1"/>
  <c r="BE189" i="1" l="1"/>
  <c r="BA189" i="1"/>
  <c r="AL189" i="1"/>
  <c r="AR189" i="1" s="1"/>
  <c r="AG189" i="1"/>
  <c r="N189" i="1"/>
  <c r="K190" i="2"/>
  <c r="Q190" i="2" s="1"/>
  <c r="S189" i="2"/>
  <c r="BG189" i="1" l="1"/>
  <c r="U190" i="2"/>
  <c r="M190" i="2"/>
  <c r="AH189" i="1" l="1"/>
  <c r="BE188" i="1"/>
  <c r="BA188" i="1"/>
  <c r="AL188" i="1"/>
  <c r="AG188" i="1"/>
  <c r="N188" i="1"/>
  <c r="K189" i="2"/>
  <c r="Q189" i="2" s="1"/>
  <c r="BK189" i="1" l="1"/>
  <c r="AR188" i="1"/>
  <c r="BG188" i="1"/>
  <c r="U189" i="2"/>
  <c r="M189" i="2"/>
  <c r="BE187" i="1"/>
  <c r="BA187" i="1"/>
  <c r="AR187" i="1"/>
  <c r="AL187" i="1"/>
  <c r="AH187" i="1"/>
  <c r="AG187" i="1"/>
  <c r="AH188" i="1"/>
  <c r="S188" i="2"/>
  <c r="K188" i="2"/>
  <c r="M188" i="2" s="1"/>
  <c r="N187" i="1"/>
  <c r="BE186" i="1"/>
  <c r="BA186" i="1"/>
  <c r="AL186" i="1"/>
  <c r="AR186" i="1" s="1"/>
  <c r="AG186" i="1"/>
  <c r="Q186" i="1"/>
  <c r="N186" i="1"/>
  <c r="S187" i="2"/>
  <c r="K187" i="2"/>
  <c r="Q187" i="2" s="1"/>
  <c r="BE185" i="1"/>
  <c r="BA185" i="1"/>
  <c r="AL185" i="1"/>
  <c r="AR185" i="1" s="1"/>
  <c r="AG185" i="1"/>
  <c r="Q185" i="1"/>
  <c r="N185" i="1"/>
  <c r="S186" i="2"/>
  <c r="K186" i="2"/>
  <c r="Q186" i="2" s="1"/>
  <c r="BM189" i="1" l="1"/>
  <c r="BG187" i="1"/>
  <c r="U188" i="2"/>
  <c r="Q188" i="2"/>
  <c r="AH186" i="1"/>
  <c r="BG186" i="1"/>
  <c r="U187" i="2"/>
  <c r="M187" i="2"/>
  <c r="BG185" i="1"/>
  <c r="U186" i="2"/>
  <c r="M186" i="2"/>
  <c r="AH185" i="1" l="1"/>
  <c r="BE184" i="1"/>
  <c r="BA184" i="1"/>
  <c r="AL184" i="1"/>
  <c r="AG184" i="1"/>
  <c r="Q184" i="1"/>
  <c r="N184" i="1"/>
  <c r="S185" i="2"/>
  <c r="K185" i="2"/>
  <c r="M185" i="2" s="1"/>
  <c r="BG184" i="1" l="1"/>
  <c r="AR184" i="1"/>
  <c r="U185" i="2"/>
  <c r="Q185" i="2"/>
  <c r="AH184" i="1" l="1"/>
  <c r="BE183" i="1"/>
  <c r="BA183" i="1"/>
  <c r="AL183" i="1"/>
  <c r="AR183" i="1" s="1"/>
  <c r="AG183" i="1"/>
  <c r="Q183" i="1"/>
  <c r="N183" i="1"/>
  <c r="S184" i="2"/>
  <c r="K184" i="2"/>
  <c r="Q184" i="2" s="1"/>
  <c r="BG183" i="1" l="1"/>
  <c r="U184" i="2"/>
  <c r="M184" i="2"/>
  <c r="S183" i="2"/>
  <c r="BS209" i="1" l="1"/>
  <c r="BS210" i="1" s="1"/>
  <c r="BE182" i="1"/>
  <c r="BA182" i="1"/>
  <c r="BK188" i="1" s="1"/>
  <c r="BM188" i="1" s="1"/>
  <c r="AL182" i="1"/>
  <c r="AR182" i="1" s="1"/>
  <c r="AG182" i="1"/>
  <c r="AI189" i="1" s="1"/>
  <c r="Q182" i="1"/>
  <c r="N182" i="1"/>
  <c r="K183" i="2"/>
  <c r="M183" i="2" s="1"/>
  <c r="BE181" i="1"/>
  <c r="BA181" i="1"/>
  <c r="AL181" i="1"/>
  <c r="AR181" i="1" s="1"/>
  <c r="AG181" i="1"/>
  <c r="AI188" i="1" s="1"/>
  <c r="Q181" i="1"/>
  <c r="N181" i="1"/>
  <c r="S182" i="2"/>
  <c r="U182" i="2" s="1"/>
  <c r="K182" i="2"/>
  <c r="M182" i="2" s="1"/>
  <c r="BE180" i="1"/>
  <c r="BA180" i="1"/>
  <c r="AL180" i="1"/>
  <c r="AR180" i="1" s="1"/>
  <c r="AG180" i="1"/>
  <c r="Q180" i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Q179" i="2" s="1"/>
  <c r="S178" i="2"/>
  <c r="BE177" i="1"/>
  <c r="BA177" i="1"/>
  <c r="AL177" i="1"/>
  <c r="AR177" i="1" s="1"/>
  <c r="AG177" i="1"/>
  <c r="Q177" i="1"/>
  <c r="N177" i="1"/>
  <c r="K178" i="2"/>
  <c r="M178" i="2" s="1"/>
  <c r="S186" i="1" l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AH182" i="1"/>
  <c r="AH183" i="1"/>
  <c r="U183" i="2"/>
  <c r="BG182" i="1"/>
  <c r="Q183" i="2"/>
  <c r="AH181" i="1"/>
  <c r="BG181" i="1"/>
  <c r="Q182" i="2"/>
  <c r="AH180" i="1"/>
  <c r="BG180" i="1"/>
  <c r="AH179" i="1"/>
  <c r="U181" i="2"/>
  <c r="Q181" i="2"/>
  <c r="M180" i="2"/>
  <c r="Q180" i="2"/>
  <c r="BG179" i="1"/>
  <c r="AH178" i="1"/>
  <c r="BG178" i="1"/>
  <c r="U179" i="2"/>
  <c r="M179" i="2"/>
  <c r="BG177" i="1"/>
  <c r="U178" i="2"/>
  <c r="Q178" i="2"/>
  <c r="AH177" i="1"/>
  <c r="BE176" i="1"/>
  <c r="BA176" i="1"/>
  <c r="AL176" i="1"/>
  <c r="AR176" i="1" s="1"/>
  <c r="AG176" i="1"/>
  <c r="Q176" i="1"/>
  <c r="S183" i="1" s="1"/>
  <c r="N176" i="1"/>
  <c r="S176" i="2"/>
  <c r="S177" i="2"/>
  <c r="K177" i="2"/>
  <c r="M177" i="2" s="1"/>
  <c r="AI183" i="1" l="1"/>
  <c r="BM187" i="1"/>
  <c r="BK182" i="1"/>
  <c r="BM182" i="1" s="1"/>
  <c r="BG176" i="1"/>
  <c r="Q177" i="2"/>
  <c r="U177" i="2"/>
  <c r="AH176" i="1"/>
  <c r="BE175" i="1"/>
  <c r="BA175" i="1"/>
  <c r="AL175" i="1"/>
  <c r="AR175" i="1" s="1"/>
  <c r="AG175" i="1"/>
  <c r="Q175" i="1"/>
  <c r="S182" i="1" s="1"/>
  <c r="N175" i="1"/>
  <c r="K176" i="2"/>
  <c r="AI182" i="1" l="1"/>
  <c r="BK181" i="1"/>
  <c r="BM181" i="1" s="1"/>
  <c r="U176" i="2"/>
  <c r="BG175" i="1"/>
  <c r="Q176" i="2"/>
  <c r="M176" i="2"/>
  <c r="S175" i="2" l="1"/>
  <c r="AH175" i="1" l="1"/>
  <c r="BE174" i="1"/>
  <c r="BA174" i="1"/>
  <c r="AL174" i="1"/>
  <c r="AR174" i="1" s="1"/>
  <c r="AG174" i="1"/>
  <c r="Q174" i="1"/>
  <c r="S181" i="1" s="1"/>
  <c r="N174" i="1"/>
  <c r="K175" i="2"/>
  <c r="Q175" i="2" s="1"/>
  <c r="AI181" i="1" l="1"/>
  <c r="BK180" i="1"/>
  <c r="BG174" i="1"/>
  <c r="U175" i="2"/>
  <c r="M175" i="2"/>
  <c r="S174" i="2"/>
  <c r="AH174" i="1"/>
  <c r="BE173" i="1"/>
  <c r="BA173" i="1"/>
  <c r="AL173" i="1"/>
  <c r="AR173" i="1" s="1"/>
  <c r="AG173" i="1"/>
  <c r="Q173" i="1"/>
  <c r="N173" i="1"/>
  <c r="K174" i="2"/>
  <c r="Q174" i="2" s="1"/>
  <c r="S173" i="2"/>
  <c r="BA219" i="1"/>
  <c r="BE172" i="1"/>
  <c r="BA172" i="1"/>
  <c r="AL172" i="1"/>
  <c r="AG172" i="1"/>
  <c r="Q172" i="1"/>
  <c r="S179" i="1" s="1"/>
  <c r="N172" i="1"/>
  <c r="K173" i="2"/>
  <c r="Q173" i="2" s="1"/>
  <c r="BK179" i="1" l="1"/>
  <c r="BM179" i="1" s="1"/>
  <c r="BM180" i="1"/>
  <c r="AI179" i="1"/>
  <c r="BK178" i="1"/>
  <c r="BM178" i="1" s="1"/>
  <c r="AI180" i="1"/>
  <c r="S180" i="1"/>
  <c r="AH173" i="1"/>
  <c r="BG173" i="1"/>
  <c r="U174" i="2"/>
  <c r="M174" i="2"/>
  <c r="BG172" i="1"/>
  <c r="AR172" i="1"/>
  <c r="U173" i="2"/>
  <c r="M173" i="2"/>
  <c r="AH172" i="1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2" i="2" s="1"/>
  <c r="BG171" i="1" l="1"/>
  <c r="BK177" i="1"/>
  <c r="BM177" i="1" s="1"/>
  <c r="U172" i="2"/>
  <c r="M172" i="2"/>
  <c r="S170" i="2" l="1"/>
  <c r="K170" i="2"/>
  <c r="Q170" i="2" s="1"/>
  <c r="S171" i="2"/>
  <c r="U171" i="2" s="1"/>
  <c r="K171" i="2"/>
  <c r="U170" i="2" l="1"/>
  <c r="Q171" i="2"/>
  <c r="M170" i="2"/>
  <c r="M171" i="2"/>
  <c r="AH171" i="1" l="1"/>
  <c r="BE170" i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AH170" i="1" l="1"/>
  <c r="BE169" i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69" i="2" s="1"/>
  <c r="U169" i="2" l="1"/>
  <c r="BG169" i="1"/>
  <c r="Q169" i="2"/>
  <c r="S168" i="2" l="1"/>
  <c r="AH169" i="1" l="1"/>
  <c r="BE168" i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Q168" i="2" s="1"/>
  <c r="BG168" i="1" l="1"/>
  <c r="U168" i="2"/>
  <c r="M168" i="2"/>
  <c r="S167" i="2"/>
  <c r="AH168" i="1" l="1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M167" i="2" s="1"/>
  <c r="AR167" i="1" l="1"/>
  <c r="BG167" i="1"/>
  <c r="U167" i="2"/>
  <c r="Q167" i="2"/>
  <c r="N110" i="1" l="1"/>
  <c r="N103" i="1"/>
  <c r="S166" i="2"/>
  <c r="AH167" i="1" l="1"/>
  <c r="BE166" i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M166" i="2" s="1"/>
  <c r="S165" i="2"/>
  <c r="BE165" i="1"/>
  <c r="BA165" i="1"/>
  <c r="BK171" i="1" s="1"/>
  <c r="BM171" i="1" s="1"/>
  <c r="AL165" i="1"/>
  <c r="AR165" i="1" s="1"/>
  <c r="AG165" i="1"/>
  <c r="AI172" i="1" s="1"/>
  <c r="Q165" i="1"/>
  <c r="S172" i="1" s="1"/>
  <c r="N165" i="1"/>
  <c r="BG165" i="1" l="1"/>
  <c r="AH166" i="1"/>
  <c r="BG166" i="1"/>
  <c r="U166" i="2"/>
  <c r="Q166" i="2"/>
  <c r="AH165" i="1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59" i="1"/>
  <c r="AP260" i="1" s="1"/>
  <c r="U160" i="2"/>
  <c r="BG159" i="1"/>
  <c r="Q160" i="2"/>
  <c r="BG158" i="1"/>
  <c r="U159" i="2"/>
  <c r="M159" i="2"/>
  <c r="BM166" i="1" l="1"/>
  <c r="AH158" i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AH156" i="1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H157" i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AH155" i="1" l="1"/>
  <c r="BE154" i="1"/>
  <c r="BA154" i="1"/>
  <c r="AL154" i="1"/>
  <c r="AG154" i="1"/>
  <c r="Q154" i="1"/>
  <c r="S161" i="1" s="1"/>
  <c r="K155" i="2"/>
  <c r="Q155" i="2" s="1"/>
  <c r="J261" i="1"/>
  <c r="AA256" i="1"/>
  <c r="H254" i="1"/>
  <c r="O256" i="1"/>
  <c r="O257" i="1" s="1"/>
  <c r="H255" i="1"/>
  <c r="J255" i="1" s="1"/>
  <c r="H256" i="1"/>
  <c r="J256" i="1" s="1"/>
  <c r="S154" i="2"/>
  <c r="AI154" i="1" l="1"/>
  <c r="AI161" i="1"/>
  <c r="BK160" i="1"/>
  <c r="BM160" i="1" s="1"/>
  <c r="AR154" i="1"/>
  <c r="BG154" i="1"/>
  <c r="U155" i="2"/>
  <c r="M155" i="2"/>
  <c r="J254" i="1"/>
  <c r="AH154" i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200" i="3"/>
  <c r="F199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32" i="1" l="1"/>
  <c r="AR227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31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36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30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26" i="1" s="1"/>
  <c r="AH113" i="1"/>
  <c r="AP226" i="1" s="1"/>
  <c r="BE124" i="1"/>
  <c r="BA124" i="1"/>
  <c r="AL124" i="1"/>
  <c r="AG124" i="1"/>
  <c r="AI131" i="1" s="1"/>
  <c r="K125" i="2"/>
  <c r="S124" i="2"/>
  <c r="AV226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43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230" i="1" l="1"/>
  <c r="AP227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27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81" i="3"/>
  <c r="AA180" i="3"/>
  <c r="AA179" i="3"/>
  <c r="AA178" i="3"/>
  <c r="AA177" i="3"/>
  <c r="AA176" i="3"/>
  <c r="AA175" i="3"/>
  <c r="AA174" i="3"/>
  <c r="AA173" i="3"/>
  <c r="AA172" i="3"/>
  <c r="AJ182" i="3"/>
  <c r="AJ185" i="3" s="1"/>
  <c r="Y182" i="3"/>
  <c r="W182" i="3"/>
  <c r="S107" i="2"/>
  <c r="AA182" i="3" l="1"/>
  <c r="AA185" i="3" s="1"/>
  <c r="U182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93" i="3"/>
  <c r="F196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25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25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25" i="1"/>
  <c r="AV225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83" i="3" l="1"/>
  <c r="I180" i="3"/>
  <c r="L180" i="3" s="1"/>
  <c r="I78" i="3"/>
  <c r="I80" i="3" s="1"/>
  <c r="I77" i="3"/>
  <c r="BE64" i="1"/>
  <c r="BA64" i="1"/>
  <c r="AL64" i="1"/>
  <c r="AR64" i="1" s="1"/>
  <c r="K65" i="2"/>
  <c r="Y19" i="3"/>
  <c r="Q66" i="2" l="1"/>
  <c r="M66" i="2"/>
  <c r="L183" i="3"/>
  <c r="I79" i="3"/>
  <c r="I81" i="3" s="1"/>
  <c r="I82" i="3" s="1"/>
  <c r="BG64" i="1"/>
  <c r="U65" i="2"/>
  <c r="S64" i="2"/>
  <c r="N81" i="3" l="1"/>
  <c r="N82" i="3" s="1"/>
  <c r="I182" i="3"/>
  <c r="L182" i="3" s="1"/>
  <c r="K64" i="2"/>
  <c r="BE63" i="1"/>
  <c r="BA63" i="1"/>
  <c r="AL63" i="1"/>
  <c r="AR63" i="1" s="1"/>
  <c r="Y18" i="3"/>
  <c r="Q65" i="2" l="1"/>
  <c r="M65" i="2"/>
  <c r="I184" i="3"/>
  <c r="U64" i="2"/>
  <c r="BG63" i="1"/>
  <c r="L173" i="3" l="1"/>
  <c r="L184" i="3"/>
  <c r="L172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23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U150" i="3" l="1"/>
  <c r="U151" i="3" s="1"/>
  <c r="U152" i="3" s="1"/>
  <c r="U153" i="3" s="1"/>
  <c r="U154" i="3" s="1"/>
  <c r="U155" i="3" s="1"/>
  <c r="U156" i="3" s="1"/>
  <c r="U164" i="3" s="1"/>
  <c r="C154" i="2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C167" i="2" l="1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C183" i="2" l="1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C193" i="2" l="1"/>
  <c r="C194" i="2" s="1"/>
  <c r="C195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67" i="1"/>
  <c r="B270" i="1"/>
  <c r="C196" i="2" l="1"/>
  <c r="C197" i="2" s="1"/>
  <c r="C198" i="2" s="1"/>
  <c r="C199" i="2" s="1"/>
  <c r="C200" i="2" s="1"/>
  <c r="C201" i="2" s="1"/>
  <c r="C209" i="2" s="1"/>
  <c r="W147" i="2"/>
  <c r="W148" i="2" s="1"/>
  <c r="BM54" i="1"/>
  <c r="BW19" i="1"/>
  <c r="AX18" i="1"/>
  <c r="BG48" i="1"/>
  <c r="BE47" i="1"/>
  <c r="BA47" i="1"/>
  <c r="AL47" i="1"/>
  <c r="AR47" i="1" s="1"/>
  <c r="W149" i="2" l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W183" i="2" l="1"/>
  <c r="BW28" i="1"/>
  <c r="AX27" i="1"/>
  <c r="BE41" i="1"/>
  <c r="BA41" i="1"/>
  <c r="BK47" i="1" s="1"/>
  <c r="BM47" i="1" s="1"/>
  <c r="AL41" i="1"/>
  <c r="AR41" i="1" s="1"/>
  <c r="W184" i="2" l="1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W193" i="2" l="1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BW31" i="1"/>
  <c r="AX30" i="1"/>
  <c r="BG40" i="1"/>
  <c r="W196" i="2" l="1"/>
  <c r="BW32" i="1"/>
  <c r="AX31" i="1"/>
  <c r="BE38" i="1"/>
  <c r="BA38" i="1"/>
  <c r="AL38" i="1"/>
  <c r="AR38" i="1" s="1"/>
  <c r="W197" i="2" l="1"/>
  <c r="W198" i="2" s="1"/>
  <c r="W199" i="2" s="1"/>
  <c r="W200" i="2" s="1"/>
  <c r="W201" i="2" s="1"/>
  <c r="BW33" i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24" i="1"/>
  <c r="BW43" i="1"/>
  <c r="BN43" i="1" s="1"/>
  <c r="AX42" i="1"/>
  <c r="BE24" i="1"/>
  <c r="BC24" i="1"/>
  <c r="AR229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31" i="1" l="1"/>
  <c r="AV231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24" i="1" l="1"/>
  <c r="AV224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B187" i="1" l="1"/>
  <c r="B188" i="1" s="1"/>
  <c r="B189" i="1" s="1"/>
  <c r="B190" i="1" s="1"/>
  <c r="B191" i="1" s="1"/>
  <c r="B192" i="1" s="1"/>
  <c r="B193" i="1" s="1"/>
  <c r="B194" i="1" s="1"/>
  <c r="B195" i="1" s="1"/>
  <c r="AV15" i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21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84" i="3"/>
  <c r="Y185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184" i="3"/>
  <c r="W185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BW188" i="1" s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W189" i="1" l="1"/>
  <c r="BN188" i="1"/>
  <c r="AX188" i="1"/>
  <c r="BN187" i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N189" i="1" l="1"/>
  <c r="AX189" i="1"/>
  <c r="BW190" i="1"/>
  <c r="BR172" i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W191" i="1" l="1"/>
  <c r="AX190" i="1"/>
  <c r="BN190" i="1"/>
  <c r="BR174" i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W192" i="1" l="1"/>
  <c r="BN191" i="1"/>
  <c r="AX191" i="1"/>
  <c r="BR175" i="1"/>
  <c r="BP176" i="1"/>
  <c r="AA157" i="1"/>
  <c r="AE156" i="1"/>
  <c r="AE155" i="1"/>
  <c r="H126" i="1"/>
  <c r="J126" i="1"/>
  <c r="AV125" i="1"/>
  <c r="O125" i="1"/>
  <c r="AC125" i="1"/>
  <c r="BN192" i="1" l="1"/>
  <c r="AX192" i="1"/>
  <c r="BW193" i="1"/>
  <c r="BP177" i="1"/>
  <c r="BR176" i="1"/>
  <c r="AE157" i="1"/>
  <c r="AA158" i="1"/>
  <c r="AC126" i="1"/>
  <c r="J127" i="1"/>
  <c r="H127" i="1"/>
  <c r="O126" i="1"/>
  <c r="AV126" i="1"/>
  <c r="J222" i="1"/>
  <c r="J223" i="1" s="1"/>
  <c r="BW194" i="1" l="1"/>
  <c r="BN193" i="1"/>
  <c r="AX193" i="1"/>
  <c r="BR177" i="1"/>
  <c r="BP178" i="1"/>
  <c r="AA159" i="1"/>
  <c r="AE158" i="1"/>
  <c r="AV127" i="1"/>
  <c r="H128" i="1"/>
  <c r="J128" i="1"/>
  <c r="O127" i="1"/>
  <c r="AC127" i="1"/>
  <c r="BW195" i="1" l="1"/>
  <c r="BN194" i="1"/>
  <c r="AX194" i="1"/>
  <c r="BR178" i="1"/>
  <c r="BP179" i="1"/>
  <c r="AE159" i="1"/>
  <c r="AA160" i="1"/>
  <c r="J129" i="1"/>
  <c r="H129" i="1"/>
  <c r="AC128" i="1"/>
  <c r="O128" i="1"/>
  <c r="AV128" i="1"/>
  <c r="AA81" i="3"/>
  <c r="AA82" i="3"/>
  <c r="AA80" i="3"/>
  <c r="BW207" i="1" l="1"/>
  <c r="BN195" i="1"/>
  <c r="AX195" i="1"/>
  <c r="BR179" i="1"/>
  <c r="BP180" i="1"/>
  <c r="AA161" i="1"/>
  <c r="AE160" i="1"/>
  <c r="J130" i="1"/>
  <c r="H130" i="1"/>
  <c r="O129" i="1"/>
  <c r="AV129" i="1"/>
  <c r="AC129" i="1"/>
  <c r="BR180" i="1" l="1"/>
  <c r="BP181" i="1"/>
  <c r="BP182" i="1" s="1"/>
  <c r="AE161" i="1"/>
  <c r="AA162" i="1"/>
  <c r="AA163" i="1" s="1"/>
  <c r="AV130" i="1"/>
  <c r="J131" i="1"/>
  <c r="H131" i="1"/>
  <c r="O130" i="1"/>
  <c r="AC130" i="1"/>
  <c r="BP183" i="1" l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P184" i="1" l="1"/>
  <c r="BP185" i="1" s="1"/>
  <c r="BR183" i="1"/>
  <c r="AA165" i="1"/>
  <c r="AE164" i="1"/>
  <c r="J133" i="1"/>
  <c r="H133" i="1"/>
  <c r="O132" i="1"/>
  <c r="AV132" i="1"/>
  <c r="AC132" i="1"/>
  <c r="BP186" i="1" l="1"/>
  <c r="BR185" i="1"/>
  <c r="BR184" i="1"/>
  <c r="AE165" i="1"/>
  <c r="AA166" i="1"/>
  <c r="AV133" i="1"/>
  <c r="H134" i="1"/>
  <c r="J134" i="1"/>
  <c r="O133" i="1"/>
  <c r="AC133" i="1"/>
  <c r="BR186" i="1" l="1"/>
  <c r="BP187" i="1"/>
  <c r="BP188" i="1" s="1"/>
  <c r="AE166" i="1"/>
  <c r="AA167" i="1"/>
  <c r="AA168" i="1" s="1"/>
  <c r="AA169" i="1" s="1"/>
  <c r="AV134" i="1"/>
  <c r="J135" i="1"/>
  <c r="H135" i="1"/>
  <c r="O134" i="1"/>
  <c r="AC134" i="1"/>
  <c r="BR188" i="1" l="1"/>
  <c r="BP189" i="1"/>
  <c r="BR187" i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BR189" i="1" l="1"/>
  <c r="BP190" i="1"/>
  <c r="AE170" i="1"/>
  <c r="AA171" i="1"/>
  <c r="O136" i="1"/>
  <c r="J137" i="1"/>
  <c r="H137" i="1"/>
  <c r="AV136" i="1"/>
  <c r="AC136" i="1"/>
  <c r="BR190" i="1" l="1"/>
  <c r="BP191" i="1"/>
  <c r="AA172" i="1"/>
  <c r="AE171" i="1"/>
  <c r="AV137" i="1"/>
  <c r="J138" i="1"/>
  <c r="H138" i="1"/>
  <c r="O137" i="1"/>
  <c r="AC137" i="1"/>
  <c r="BR191" i="1" l="1"/>
  <c r="BP192" i="1"/>
  <c r="AE172" i="1"/>
  <c r="AA173" i="1"/>
  <c r="AA174" i="1" s="1"/>
  <c r="J139" i="1"/>
  <c r="H139" i="1"/>
  <c r="AV138" i="1"/>
  <c r="O138" i="1"/>
  <c r="AC138" i="1"/>
  <c r="BP193" i="1" l="1"/>
  <c r="BR192" i="1"/>
  <c r="AA175" i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BR193" i="1" l="1"/>
  <c r="BP194" i="1"/>
  <c r="AA176" i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BR194" i="1" l="1"/>
  <c r="BP195" i="1"/>
  <c r="BP196" i="1" s="1"/>
  <c r="AE176" i="1"/>
  <c r="AA177" i="1"/>
  <c r="O141" i="1"/>
  <c r="J142" i="1"/>
  <c r="H142" i="1"/>
  <c r="AV141" i="1"/>
  <c r="AC141" i="1"/>
  <c r="AA98" i="3"/>
  <c r="AA99" i="3"/>
  <c r="AA94" i="3"/>
  <c r="AA95" i="3"/>
  <c r="AA93" i="3"/>
  <c r="BR196" i="1" l="1"/>
  <c r="BP197" i="1"/>
  <c r="BR195" i="1"/>
  <c r="AE177" i="1"/>
  <c r="AA178" i="1"/>
  <c r="H143" i="1"/>
  <c r="J143" i="1"/>
  <c r="O142" i="1"/>
  <c r="AV142" i="1"/>
  <c r="AC142" i="1"/>
  <c r="AA96" i="3"/>
  <c r="AA97" i="3"/>
  <c r="BR197" i="1" l="1"/>
  <c r="BP198" i="1"/>
  <c r="AE178" i="1"/>
  <c r="AA179" i="1"/>
  <c r="O143" i="1"/>
  <c r="J144" i="1"/>
  <c r="H144" i="1"/>
  <c r="AV143" i="1"/>
  <c r="AC143" i="1"/>
  <c r="BR198" i="1" l="1"/>
  <c r="BP199" i="1"/>
  <c r="AA180" i="1"/>
  <c r="AE179" i="1"/>
  <c r="O144" i="1"/>
  <c r="H145" i="1"/>
  <c r="J145" i="1"/>
  <c r="AV144" i="1"/>
  <c r="AC144" i="1"/>
  <c r="BR199" i="1" l="1"/>
  <c r="AE180" i="1"/>
  <c r="AA181" i="1"/>
  <c r="AA182" i="1" s="1"/>
  <c r="J146" i="1"/>
  <c r="H146" i="1"/>
  <c r="AV145" i="1"/>
  <c r="O145" i="1"/>
  <c r="AC145" i="1"/>
  <c r="AE182" i="1" l="1"/>
  <c r="AA183" i="1"/>
  <c r="AE181" i="1"/>
  <c r="J147" i="1"/>
  <c r="H147" i="1"/>
  <c r="O146" i="1"/>
  <c r="AV146" i="1"/>
  <c r="AC146" i="1"/>
  <c r="AA184" i="1" l="1"/>
  <c r="AA185" i="1" s="1"/>
  <c r="AE183" i="1"/>
  <c r="AV147" i="1"/>
  <c r="H148" i="1"/>
  <c r="J148" i="1"/>
  <c r="O147" i="1"/>
  <c r="AC147" i="1"/>
  <c r="AE185" i="1" l="1"/>
  <c r="AA186" i="1"/>
  <c r="AE184" i="1"/>
  <c r="O148" i="1"/>
  <c r="J149" i="1"/>
  <c r="H149" i="1"/>
  <c r="AV148" i="1"/>
  <c r="AC148" i="1"/>
  <c r="AA103" i="3"/>
  <c r="AA100" i="3"/>
  <c r="AA187" i="1" l="1"/>
  <c r="AA188" i="1" s="1"/>
  <c r="AE186" i="1"/>
  <c r="H150" i="1"/>
  <c r="J150" i="1"/>
  <c r="O149" i="1"/>
  <c r="AV149" i="1"/>
  <c r="AC149" i="1"/>
  <c r="AA101" i="3"/>
  <c r="AA102" i="3"/>
  <c r="AE188" i="1" l="1"/>
  <c r="AA189" i="1"/>
  <c r="AE187" i="1"/>
  <c r="J151" i="1"/>
  <c r="H151" i="1"/>
  <c r="O150" i="1"/>
  <c r="AV150" i="1"/>
  <c r="AC150" i="1"/>
  <c r="AE189" i="1" l="1"/>
  <c r="AA190" i="1"/>
  <c r="O151" i="1"/>
  <c r="AV151" i="1"/>
  <c r="J152" i="1"/>
  <c r="H152" i="1"/>
  <c r="AC151" i="1"/>
  <c r="AE190" i="1" l="1"/>
  <c r="AA191" i="1"/>
  <c r="J153" i="1"/>
  <c r="H153" i="1"/>
  <c r="O152" i="1"/>
  <c r="AV152" i="1"/>
  <c r="AC152" i="1"/>
  <c r="AA105" i="3"/>
  <c r="AA106" i="3"/>
  <c r="AA104" i="3"/>
  <c r="AA192" i="1" l="1"/>
  <c r="AE191" i="1"/>
  <c r="J154" i="1"/>
  <c r="H154" i="1"/>
  <c r="O153" i="1"/>
  <c r="AV153" i="1"/>
  <c r="AC153" i="1"/>
  <c r="AE192" i="1" l="1"/>
  <c r="AA193" i="1"/>
  <c r="AV154" i="1"/>
  <c r="J155" i="1"/>
  <c r="H155" i="1"/>
  <c r="O154" i="1"/>
  <c r="AC154" i="1"/>
  <c r="AE193" i="1" l="1"/>
  <c r="AA194" i="1"/>
  <c r="J156" i="1"/>
  <c r="H156" i="1"/>
  <c r="AV155" i="1"/>
  <c r="O155" i="1"/>
  <c r="AC155" i="1"/>
  <c r="AA108" i="3"/>
  <c r="AA109" i="3"/>
  <c r="AA107" i="3"/>
  <c r="AE194" i="1" l="1"/>
  <c r="AA195" i="1"/>
  <c r="AA196" i="1" s="1"/>
  <c r="AV156" i="1"/>
  <c r="J157" i="1"/>
  <c r="H157" i="1"/>
  <c r="O156" i="1"/>
  <c r="AC156" i="1"/>
  <c r="AE196" i="1" l="1"/>
  <c r="AA197" i="1"/>
  <c r="AE195" i="1"/>
  <c r="O157" i="1"/>
  <c r="J158" i="1"/>
  <c r="H158" i="1"/>
  <c r="AV157" i="1"/>
  <c r="AC157" i="1"/>
  <c r="AA198" i="1" l="1"/>
  <c r="AE197" i="1"/>
  <c r="AV158" i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A199" i="1" l="1"/>
  <c r="AE198" i="1"/>
  <c r="AV159" i="1"/>
  <c r="J160" i="1"/>
  <c r="H160" i="1"/>
  <c r="O159" i="1"/>
  <c r="AC159" i="1"/>
  <c r="AE199" i="1" l="1"/>
  <c r="O160" i="1"/>
  <c r="H161" i="1"/>
  <c r="J161" i="1"/>
  <c r="AV160" i="1"/>
  <c r="AC160" i="1"/>
  <c r="I21" i="3" l="1"/>
  <c r="I35" i="3" s="1"/>
  <c r="AJ21" i="2"/>
  <c r="AD49" i="2"/>
  <c r="AD51" i="2" s="1"/>
  <c r="AD53" i="2" s="1"/>
  <c r="AD55" i="2" s="1"/>
  <c r="AD57" i="2" s="1"/>
  <c r="O161" i="1"/>
  <c r="H162" i="1"/>
  <c r="J162" i="1"/>
  <c r="AV161" i="1"/>
  <c r="AC161" i="1"/>
  <c r="J163" i="1" l="1"/>
  <c r="H163" i="1"/>
  <c r="O162" i="1"/>
  <c r="AV162" i="1"/>
  <c r="AC162" i="1"/>
  <c r="O163" i="1" l="1"/>
  <c r="J164" i="1"/>
  <c r="H164" i="1"/>
  <c r="AV163" i="1"/>
  <c r="AC163" i="1"/>
  <c r="O164" i="1" l="1"/>
  <c r="H165" i="1"/>
  <c r="AV164" i="1"/>
  <c r="J165" i="1"/>
  <c r="AC164" i="1"/>
  <c r="O165" i="1" l="1"/>
  <c r="AV165" i="1"/>
  <c r="H166" i="1"/>
  <c r="J166" i="1"/>
  <c r="AC165" i="1"/>
  <c r="AA121" i="3"/>
  <c r="AA119" i="3"/>
  <c r="AA120" i="3"/>
  <c r="AA118" i="3"/>
  <c r="J167" i="1" l="1"/>
  <c r="O166" i="1"/>
  <c r="AV166" i="1"/>
  <c r="H167" i="1"/>
  <c r="AC166" i="1"/>
  <c r="H168" i="1" l="1"/>
  <c r="J168" i="1"/>
  <c r="O167" i="1"/>
  <c r="AV167" i="1"/>
  <c r="AC167" i="1"/>
  <c r="J169" i="1" l="1"/>
  <c r="H169" i="1"/>
  <c r="AV168" i="1"/>
  <c r="O168" i="1"/>
  <c r="AC168" i="1"/>
  <c r="O169" i="1" l="1"/>
  <c r="J170" i="1"/>
  <c r="H170" i="1"/>
  <c r="AV169" i="1"/>
  <c r="AC169" i="1"/>
  <c r="AV170" i="1" l="1"/>
  <c r="H171" i="1"/>
  <c r="J171" i="1"/>
  <c r="O170" i="1"/>
  <c r="AC170" i="1"/>
  <c r="AA127" i="3"/>
  <c r="AA128" i="3"/>
  <c r="AA125" i="3"/>
  <c r="AA126" i="3"/>
  <c r="AA123" i="3"/>
  <c r="AA124" i="3"/>
  <c r="AA122" i="3"/>
  <c r="O171" i="1" l="1"/>
  <c r="J172" i="1"/>
  <c r="H172" i="1"/>
  <c r="AV171" i="1"/>
  <c r="AC171" i="1"/>
  <c r="O172" i="1" l="1"/>
  <c r="J173" i="1"/>
  <c r="H173" i="1"/>
  <c r="AV172" i="1"/>
  <c r="AC172" i="1"/>
  <c r="J174" i="1" l="1"/>
  <c r="H174" i="1"/>
  <c r="O173" i="1"/>
  <c r="AV173" i="1"/>
  <c r="AC173" i="1"/>
  <c r="O174" i="1" l="1"/>
  <c r="J175" i="1"/>
  <c r="H175" i="1"/>
  <c r="AV174" i="1"/>
  <c r="AC174" i="1"/>
  <c r="AV175" i="1" l="1"/>
  <c r="J176" i="1"/>
  <c r="H176" i="1"/>
  <c r="O175" i="1"/>
  <c r="AC175" i="1"/>
  <c r="O176" i="1" l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V177" i="1" l="1"/>
  <c r="H178" i="1"/>
  <c r="J178" i="1"/>
  <c r="O177" i="1"/>
  <c r="AC177" i="1"/>
  <c r="AV178" i="1" l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H185" i="1" l="1"/>
  <c r="J185" i="1"/>
  <c r="AV184" i="1"/>
  <c r="O184" i="1"/>
  <c r="AC184" i="1"/>
  <c r="AA138" i="3"/>
  <c r="AA137" i="3"/>
  <c r="AV185" i="1" l="1"/>
  <c r="O185" i="1"/>
  <c r="J186" i="1"/>
  <c r="H186" i="1"/>
  <c r="AC185" i="1"/>
  <c r="O186" i="1" l="1"/>
  <c r="H187" i="1"/>
  <c r="J187" i="1"/>
  <c r="AV186" i="1"/>
  <c r="AC186" i="1"/>
  <c r="H188" i="1" l="1"/>
  <c r="J188" i="1"/>
  <c r="O187" i="1"/>
  <c r="AV187" i="1"/>
  <c r="AC187" i="1"/>
  <c r="AA140" i="3"/>
  <c r="AA141" i="3"/>
  <c r="AA139" i="3"/>
  <c r="AV188" i="1" l="1"/>
  <c r="J189" i="1"/>
  <c r="H189" i="1"/>
  <c r="I23" i="3" s="1"/>
  <c r="I25" i="3" s="1"/>
  <c r="I27" i="3" s="1"/>
  <c r="O188" i="1"/>
  <c r="AC188" i="1"/>
  <c r="N27" i="3" l="1"/>
  <c r="N28" i="3" s="1"/>
  <c r="I34" i="3"/>
  <c r="O189" i="1"/>
  <c r="J190" i="1"/>
  <c r="H190" i="1"/>
  <c r="AV189" i="1"/>
  <c r="AC189" i="1"/>
  <c r="O190" i="1" l="1"/>
  <c r="J191" i="1"/>
  <c r="H191" i="1"/>
  <c r="AV190" i="1"/>
  <c r="AC190" i="1"/>
  <c r="AA149" i="3"/>
  <c r="AA147" i="3"/>
  <c r="AA148" i="3"/>
  <c r="AA145" i="3"/>
  <c r="AA146" i="3"/>
  <c r="AA143" i="3"/>
  <c r="AA144" i="3"/>
  <c r="AA142" i="3"/>
  <c r="AV191" i="1" l="1"/>
  <c r="J192" i="1"/>
  <c r="H192" i="1"/>
  <c r="O191" i="1"/>
  <c r="AC191" i="1"/>
  <c r="J193" i="1" l="1"/>
  <c r="H193" i="1"/>
  <c r="AV192" i="1"/>
  <c r="O192" i="1"/>
  <c r="AC192" i="1"/>
  <c r="J194" i="1" l="1"/>
  <c r="H194" i="1"/>
  <c r="O193" i="1"/>
  <c r="AV193" i="1"/>
  <c r="AC193" i="1"/>
  <c r="AV194" i="1" l="1"/>
  <c r="J195" i="1"/>
  <c r="H195" i="1"/>
  <c r="O194" i="1"/>
  <c r="AC194" i="1"/>
  <c r="H196" i="1" l="1"/>
  <c r="J196" i="1"/>
  <c r="AV195" i="1"/>
  <c r="O195" i="1"/>
  <c r="AC195" i="1"/>
  <c r="AV196" i="1" l="1"/>
  <c r="J197" i="1"/>
  <c r="H197" i="1"/>
  <c r="O196" i="1"/>
  <c r="AC196" i="1"/>
  <c r="H198" i="1" l="1"/>
  <c r="J198" i="1"/>
  <c r="O197" i="1"/>
  <c r="AV197" i="1"/>
  <c r="AC197" i="1"/>
  <c r="J199" i="1" l="1"/>
  <c r="O198" i="1"/>
  <c r="H199" i="1"/>
  <c r="AV198" i="1"/>
  <c r="AC198" i="1"/>
  <c r="AA151" i="3"/>
  <c r="AA150" i="3"/>
  <c r="AV199" i="1" l="1"/>
  <c r="O199" i="1"/>
  <c r="AC199" i="1"/>
  <c r="AA152" i="3"/>
  <c r="AA153" i="3"/>
  <c r="AF21" i="2" l="1"/>
  <c r="I32" i="3"/>
  <c r="L34" i="3" l="1"/>
  <c r="I36" i="3"/>
  <c r="W157" i="3" s="1"/>
  <c r="AA157" i="3" s="1"/>
  <c r="I28" i="3"/>
  <c r="L35" i="3"/>
  <c r="L32" i="3"/>
  <c r="AA155" i="3" l="1"/>
  <c r="AA156" i="3"/>
  <c r="AA154" i="3"/>
  <c r="L36" i="3"/>
  <c r="Y157" i="3" s="1"/>
  <c r="Y12" i="3" l="1"/>
  <c r="Y121" i="3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<sst xmlns="http://schemas.openxmlformats.org/spreadsheetml/2006/main" count="291" uniqueCount="166">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</sst>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41" fontId="0" fillId="0" borderId="0" xfId="4" applyFont="1"/>
  </cellXfs>
  <cellStyles count="5">
    <cellStyle name="Comma" xfId="1" builtinId="3"/>
    <cellStyle name="Comma [0]" xfId="4" builtinId="6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'Main Table'!$AG$26:$AG$196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Table'!$BK$40:$BK$201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1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Table'!$N$131:$N$201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Table'!$N$187,'Main Table'!$N$194,'Main Table'!$N$201)</c:f>
              <c:numCache>
                <c:formatCode>_(* #,##0_);_(* \(#,##0\);_(* "-"??_);_(@_)</c:formatCode>
                <c:ptCount val="11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  <c:pt idx="9">
                  <c:v>289312</c:v>
                </c:pt>
                <c:pt idx="10">
                  <c:v>290088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212</xdr:row>
      <xdr:rowOff>0</xdr:rowOff>
    </xdr:from>
    <xdr:to>
      <xdr:col>54</xdr:col>
      <xdr:colOff>160020</xdr:colOff>
      <xdr:row>212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213</xdr:row>
      <xdr:rowOff>0</xdr:rowOff>
    </xdr:from>
    <xdr:to>
      <xdr:col>54</xdr:col>
      <xdr:colOff>160020</xdr:colOff>
      <xdr:row>213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222</xdr:row>
      <xdr:rowOff>99060</xdr:rowOff>
    </xdr:from>
    <xdr:to>
      <xdr:col>22</xdr:col>
      <xdr:colOff>312420</xdr:colOff>
      <xdr:row>223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222</xdr:row>
      <xdr:rowOff>129540</xdr:rowOff>
    </xdr:from>
    <xdr:to>
      <xdr:col>23</xdr:col>
      <xdr:colOff>68580</xdr:colOff>
      <xdr:row>223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640080</xdr:colOff>
      <xdr:row>8</xdr:row>
      <xdr:rowOff>7620</xdr:rowOff>
    </xdr:from>
    <xdr:to>
      <xdr:col>89</xdr:col>
      <xdr:colOff>731520</xdr:colOff>
      <xdr:row>25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78</xdr:col>
      <xdr:colOff>99060</xdr:colOff>
      <xdr:row>9</xdr:row>
      <xdr:rowOff>30480</xdr:rowOff>
    </xdr:from>
    <xdr:to>
      <xdr:col>90</xdr:col>
      <xdr:colOff>350520</xdr:colOff>
      <xdr:row>26</xdr:row>
      <xdr:rowOff>175260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237</xdr:row>
      <xdr:rowOff>125730</xdr:rowOff>
    </xdr:from>
    <xdr:to>
      <xdr:col>54</xdr:col>
      <xdr:colOff>213360</xdr:colOff>
      <xdr:row>252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5" name="Arrow: Down 1414">
          <a:extLst>
            <a:ext uri="{FF2B5EF4-FFF2-40B4-BE49-F238E27FC236}">
              <a16:creationId xmlns:a16="http://schemas.microsoft.com/office/drawing/2014/main" id="{69C13B5D-FD2F-49E2-A5FE-51FC8508862E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6" name="Arrow: Down 1415">
          <a:extLst>
            <a:ext uri="{FF2B5EF4-FFF2-40B4-BE49-F238E27FC236}">
              <a16:creationId xmlns:a16="http://schemas.microsoft.com/office/drawing/2014/main" id="{254C8C3B-D0FF-4C26-9C62-922271450E2B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7" name="Arrow: Down 1416">
          <a:extLst>
            <a:ext uri="{FF2B5EF4-FFF2-40B4-BE49-F238E27FC236}">
              <a16:creationId xmlns:a16="http://schemas.microsoft.com/office/drawing/2014/main" id="{EDDE4C1A-E115-4226-9A37-1CF1BCBC80AF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8" name="Arrow: Down 1417">
          <a:extLst>
            <a:ext uri="{FF2B5EF4-FFF2-40B4-BE49-F238E27FC236}">
              <a16:creationId xmlns:a16="http://schemas.microsoft.com/office/drawing/2014/main" id="{07B9EC51-47F0-47F2-996E-99805868B83F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195</xdr:row>
      <xdr:rowOff>0</xdr:rowOff>
    </xdr:from>
    <xdr:to>
      <xdr:col>24</xdr:col>
      <xdr:colOff>83820</xdr:colOff>
      <xdr:row>195</xdr:row>
      <xdr:rowOff>114300</xdr:rowOff>
    </xdr:to>
    <xdr:sp macro="" textlink="">
      <xdr:nvSpPr>
        <xdr:cNvPr id="1436" name="Arrow: Down 1435">
          <a:extLst>
            <a:ext uri="{FF2B5EF4-FFF2-40B4-BE49-F238E27FC236}">
              <a16:creationId xmlns:a16="http://schemas.microsoft.com/office/drawing/2014/main" id="{2305382A-F04E-40BF-A969-53B69FBF3D44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195</xdr:row>
      <xdr:rowOff>0</xdr:rowOff>
    </xdr:from>
    <xdr:to>
      <xdr:col>5</xdr:col>
      <xdr:colOff>83820</xdr:colOff>
      <xdr:row>195</xdr:row>
      <xdr:rowOff>114300</xdr:rowOff>
    </xdr:to>
    <xdr:sp macro="" textlink="">
      <xdr:nvSpPr>
        <xdr:cNvPr id="1449" name="Arrow: Down 1448">
          <a:extLst>
            <a:ext uri="{FF2B5EF4-FFF2-40B4-BE49-F238E27FC236}">
              <a16:creationId xmlns:a16="http://schemas.microsoft.com/office/drawing/2014/main" id="{2E5560A5-0C7A-431F-87AB-5E1928DB56B2}"/>
            </a:ext>
          </a:extLst>
        </xdr:cNvPr>
        <xdr:cNvSpPr/>
      </xdr:nvSpPr>
      <xdr:spPr>
        <a:xfrm>
          <a:off x="192786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195</xdr:row>
      <xdr:rowOff>0</xdr:rowOff>
    </xdr:from>
    <xdr:to>
      <xdr:col>11</xdr:col>
      <xdr:colOff>83820</xdr:colOff>
      <xdr:row>195</xdr:row>
      <xdr:rowOff>114300</xdr:rowOff>
    </xdr:to>
    <xdr:sp macro="" textlink="">
      <xdr:nvSpPr>
        <xdr:cNvPr id="1452" name="Arrow: Down 1451">
          <a:extLst>
            <a:ext uri="{FF2B5EF4-FFF2-40B4-BE49-F238E27FC236}">
              <a16:creationId xmlns:a16="http://schemas.microsoft.com/office/drawing/2014/main" id="{F1277F4C-6728-41CE-9AA4-0557F935C29A}"/>
            </a:ext>
          </a:extLst>
        </xdr:cNvPr>
        <xdr:cNvSpPr/>
      </xdr:nvSpPr>
      <xdr:spPr>
        <a:xfrm>
          <a:off x="361950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195</xdr:row>
      <xdr:rowOff>0</xdr:rowOff>
    </xdr:from>
    <xdr:to>
      <xdr:col>39</xdr:col>
      <xdr:colOff>83820</xdr:colOff>
      <xdr:row>195</xdr:row>
      <xdr:rowOff>114300</xdr:rowOff>
    </xdr:to>
    <xdr:sp macro="" textlink="">
      <xdr:nvSpPr>
        <xdr:cNvPr id="1455" name="Arrow: Down 1454">
          <a:extLst>
            <a:ext uri="{FF2B5EF4-FFF2-40B4-BE49-F238E27FC236}">
              <a16:creationId xmlns:a16="http://schemas.microsoft.com/office/drawing/2014/main" id="{B398C1FB-1482-4292-BC55-20545B174E6D}"/>
            </a:ext>
          </a:extLst>
        </xdr:cNvPr>
        <xdr:cNvSpPr/>
      </xdr:nvSpPr>
      <xdr:spPr>
        <a:xfrm>
          <a:off x="1180338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195</xdr:row>
      <xdr:rowOff>0</xdr:rowOff>
    </xdr:from>
    <xdr:to>
      <xdr:col>60</xdr:col>
      <xdr:colOff>83820</xdr:colOff>
      <xdr:row>195</xdr:row>
      <xdr:rowOff>114300</xdr:rowOff>
    </xdr:to>
    <xdr:sp macro="" textlink="">
      <xdr:nvSpPr>
        <xdr:cNvPr id="1457" name="Arrow: Down 1456">
          <a:extLst>
            <a:ext uri="{FF2B5EF4-FFF2-40B4-BE49-F238E27FC236}">
              <a16:creationId xmlns:a16="http://schemas.microsoft.com/office/drawing/2014/main" id="{F9F43A51-E045-4DF9-B590-0043C317B751}"/>
            </a:ext>
          </a:extLst>
        </xdr:cNvPr>
        <xdr:cNvSpPr/>
      </xdr:nvSpPr>
      <xdr:spPr>
        <a:xfrm>
          <a:off x="183718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58" name="Arrow: Down 1457">
          <a:extLst>
            <a:ext uri="{FF2B5EF4-FFF2-40B4-BE49-F238E27FC236}">
              <a16:creationId xmlns:a16="http://schemas.microsoft.com/office/drawing/2014/main" id="{499002BF-AD07-4081-B2BE-9EC90A596534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59" name="Arrow: Down 1458">
          <a:extLst>
            <a:ext uri="{FF2B5EF4-FFF2-40B4-BE49-F238E27FC236}">
              <a16:creationId xmlns:a16="http://schemas.microsoft.com/office/drawing/2014/main" id="{BD3BF816-EA51-4809-9148-2BAD4B6B92A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60" name="Arrow: Down 1459">
          <a:extLst>
            <a:ext uri="{FF2B5EF4-FFF2-40B4-BE49-F238E27FC236}">
              <a16:creationId xmlns:a16="http://schemas.microsoft.com/office/drawing/2014/main" id="{813BE744-BD10-4679-8CE7-3BB40DCCE67A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61" name="Arrow: Down 1460">
          <a:extLst>
            <a:ext uri="{FF2B5EF4-FFF2-40B4-BE49-F238E27FC236}">
              <a16:creationId xmlns:a16="http://schemas.microsoft.com/office/drawing/2014/main" id="{9CB702DB-FE2C-43B2-8469-9BFCA1B6097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196</xdr:row>
      <xdr:rowOff>0</xdr:rowOff>
    </xdr:from>
    <xdr:to>
      <xdr:col>24</xdr:col>
      <xdr:colOff>83820</xdr:colOff>
      <xdr:row>196</xdr:row>
      <xdr:rowOff>114300</xdr:rowOff>
    </xdr:to>
    <xdr:sp macro="" textlink="">
      <xdr:nvSpPr>
        <xdr:cNvPr id="1462" name="Arrow: Down 1461">
          <a:extLst>
            <a:ext uri="{FF2B5EF4-FFF2-40B4-BE49-F238E27FC236}">
              <a16:creationId xmlns:a16="http://schemas.microsoft.com/office/drawing/2014/main" id="{C00C4BE7-C3D0-420B-9EB0-77F6580A13D0}"/>
            </a:ext>
          </a:extLst>
        </xdr:cNvPr>
        <xdr:cNvSpPr/>
      </xdr:nvSpPr>
      <xdr:spPr>
        <a:xfrm rot="10800000">
          <a:off x="636270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196</xdr:row>
      <xdr:rowOff>0</xdr:rowOff>
    </xdr:from>
    <xdr:to>
      <xdr:col>60</xdr:col>
      <xdr:colOff>83820</xdr:colOff>
      <xdr:row>196</xdr:row>
      <xdr:rowOff>114300</xdr:rowOff>
    </xdr:to>
    <xdr:sp macro="" textlink="">
      <xdr:nvSpPr>
        <xdr:cNvPr id="1466" name="Arrow: Down 1465">
          <a:extLst>
            <a:ext uri="{FF2B5EF4-FFF2-40B4-BE49-F238E27FC236}">
              <a16:creationId xmlns:a16="http://schemas.microsoft.com/office/drawing/2014/main" id="{882C9745-DB24-449A-87D2-71CF8B12571B}"/>
            </a:ext>
          </a:extLst>
        </xdr:cNvPr>
        <xdr:cNvSpPr/>
      </xdr:nvSpPr>
      <xdr:spPr>
        <a:xfrm>
          <a:off x="160934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83820</xdr:colOff>
      <xdr:row>196</xdr:row>
      <xdr:rowOff>114300</xdr:rowOff>
    </xdr:to>
    <xdr:sp macro="" textlink="">
      <xdr:nvSpPr>
        <xdr:cNvPr id="1467" name="Arrow: Down 1466">
          <a:extLst>
            <a:ext uri="{FF2B5EF4-FFF2-40B4-BE49-F238E27FC236}">
              <a16:creationId xmlns:a16="http://schemas.microsoft.com/office/drawing/2014/main" id="{A59D0A2F-5E32-47D7-9B2D-23896D517919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83820</xdr:colOff>
      <xdr:row>196</xdr:row>
      <xdr:rowOff>114300</xdr:rowOff>
    </xdr:to>
    <xdr:sp macro="" textlink="">
      <xdr:nvSpPr>
        <xdr:cNvPr id="1468" name="Arrow: Down 1467">
          <a:extLst>
            <a:ext uri="{FF2B5EF4-FFF2-40B4-BE49-F238E27FC236}">
              <a16:creationId xmlns:a16="http://schemas.microsoft.com/office/drawing/2014/main" id="{71CFCFAD-6E13-48A0-839F-ABBD7F997E7A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196</xdr:row>
      <xdr:rowOff>0</xdr:rowOff>
    </xdr:from>
    <xdr:to>
      <xdr:col>39</xdr:col>
      <xdr:colOff>83820</xdr:colOff>
      <xdr:row>196</xdr:row>
      <xdr:rowOff>114300</xdr:rowOff>
    </xdr:to>
    <xdr:sp macro="" textlink="">
      <xdr:nvSpPr>
        <xdr:cNvPr id="1469" name="Arrow: Down 1468">
          <a:extLst>
            <a:ext uri="{FF2B5EF4-FFF2-40B4-BE49-F238E27FC236}">
              <a16:creationId xmlns:a16="http://schemas.microsoft.com/office/drawing/2014/main" id="{7B04FF91-D40C-41A6-94D6-59651D69B9F6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0" name="Arrow: Down 1469">
          <a:extLst>
            <a:ext uri="{FF2B5EF4-FFF2-40B4-BE49-F238E27FC236}">
              <a16:creationId xmlns:a16="http://schemas.microsoft.com/office/drawing/2014/main" id="{FB5A24B4-0E3C-4E32-BBE1-022528B644C3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1" name="Arrow: Down 1470">
          <a:extLst>
            <a:ext uri="{FF2B5EF4-FFF2-40B4-BE49-F238E27FC236}">
              <a16:creationId xmlns:a16="http://schemas.microsoft.com/office/drawing/2014/main" id="{606732C1-035D-418E-B291-D066ED6A3693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2" name="Arrow: Down 1471">
          <a:extLst>
            <a:ext uri="{FF2B5EF4-FFF2-40B4-BE49-F238E27FC236}">
              <a16:creationId xmlns:a16="http://schemas.microsoft.com/office/drawing/2014/main" id="{6CB10B81-A25C-492A-9083-BA96B5F993F8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3" name="Arrow: Down 1472">
          <a:extLst>
            <a:ext uri="{FF2B5EF4-FFF2-40B4-BE49-F238E27FC236}">
              <a16:creationId xmlns:a16="http://schemas.microsoft.com/office/drawing/2014/main" id="{D75B4CA1-7294-4C51-98BA-5A831AD30A6B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197</xdr:row>
      <xdr:rowOff>0</xdr:rowOff>
    </xdr:from>
    <xdr:to>
      <xdr:col>60</xdr:col>
      <xdr:colOff>83820</xdr:colOff>
      <xdr:row>197</xdr:row>
      <xdr:rowOff>114300</xdr:rowOff>
    </xdr:to>
    <xdr:sp macro="" textlink="">
      <xdr:nvSpPr>
        <xdr:cNvPr id="1475" name="Arrow: Down 1474">
          <a:extLst>
            <a:ext uri="{FF2B5EF4-FFF2-40B4-BE49-F238E27FC236}">
              <a16:creationId xmlns:a16="http://schemas.microsoft.com/office/drawing/2014/main" id="{74E5F558-4F52-4DBB-9D95-259948F79153}"/>
            </a:ext>
          </a:extLst>
        </xdr:cNvPr>
        <xdr:cNvSpPr/>
      </xdr:nvSpPr>
      <xdr:spPr>
        <a:xfrm>
          <a:off x="1613916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197</xdr:row>
      <xdr:rowOff>0</xdr:rowOff>
    </xdr:from>
    <xdr:to>
      <xdr:col>5</xdr:col>
      <xdr:colOff>83820</xdr:colOff>
      <xdr:row>197</xdr:row>
      <xdr:rowOff>114300</xdr:rowOff>
    </xdr:to>
    <xdr:sp macro="" textlink="">
      <xdr:nvSpPr>
        <xdr:cNvPr id="1476" name="Arrow: Down 1475">
          <a:extLst>
            <a:ext uri="{FF2B5EF4-FFF2-40B4-BE49-F238E27FC236}">
              <a16:creationId xmlns:a16="http://schemas.microsoft.com/office/drawing/2014/main" id="{F709F72C-361B-462F-ADC3-BC501A7F4A1A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197</xdr:row>
      <xdr:rowOff>0</xdr:rowOff>
    </xdr:from>
    <xdr:to>
      <xdr:col>11</xdr:col>
      <xdr:colOff>83820</xdr:colOff>
      <xdr:row>197</xdr:row>
      <xdr:rowOff>114300</xdr:rowOff>
    </xdr:to>
    <xdr:sp macro="" textlink="">
      <xdr:nvSpPr>
        <xdr:cNvPr id="1477" name="Arrow: Down 1476">
          <a:extLst>
            <a:ext uri="{FF2B5EF4-FFF2-40B4-BE49-F238E27FC236}">
              <a16:creationId xmlns:a16="http://schemas.microsoft.com/office/drawing/2014/main" id="{810A2499-3D87-4A9C-BFCE-69E7C0E1B2C6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197</xdr:row>
      <xdr:rowOff>0</xdr:rowOff>
    </xdr:from>
    <xdr:to>
      <xdr:col>39</xdr:col>
      <xdr:colOff>83820</xdr:colOff>
      <xdr:row>197</xdr:row>
      <xdr:rowOff>114300</xdr:rowOff>
    </xdr:to>
    <xdr:sp macro="" textlink="">
      <xdr:nvSpPr>
        <xdr:cNvPr id="1478" name="Arrow: Down 1477">
          <a:extLst>
            <a:ext uri="{FF2B5EF4-FFF2-40B4-BE49-F238E27FC236}">
              <a16:creationId xmlns:a16="http://schemas.microsoft.com/office/drawing/2014/main" id="{79586BFD-C950-435B-A887-5A6733D6750C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197</xdr:row>
      <xdr:rowOff>0</xdr:rowOff>
    </xdr:from>
    <xdr:to>
      <xdr:col>24</xdr:col>
      <xdr:colOff>83820</xdr:colOff>
      <xdr:row>197</xdr:row>
      <xdr:rowOff>114300</xdr:rowOff>
    </xdr:to>
    <xdr:sp macro="" textlink="">
      <xdr:nvSpPr>
        <xdr:cNvPr id="1480" name="Arrow: Down 1479">
          <a:extLst>
            <a:ext uri="{FF2B5EF4-FFF2-40B4-BE49-F238E27FC236}">
              <a16:creationId xmlns:a16="http://schemas.microsoft.com/office/drawing/2014/main" id="{98D9E041-BD6F-40B5-B087-973ABFEFA092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1" name="Arrow: Down 1480">
          <a:extLst>
            <a:ext uri="{FF2B5EF4-FFF2-40B4-BE49-F238E27FC236}">
              <a16:creationId xmlns:a16="http://schemas.microsoft.com/office/drawing/2014/main" id="{EAFE4103-25D0-4C73-A653-0475BDF640E3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2" name="Arrow: Down 1481">
          <a:extLst>
            <a:ext uri="{FF2B5EF4-FFF2-40B4-BE49-F238E27FC236}">
              <a16:creationId xmlns:a16="http://schemas.microsoft.com/office/drawing/2014/main" id="{1E172573-C5E9-4623-A4A4-197988BF9A96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3" name="Arrow: Down 1482">
          <a:extLst>
            <a:ext uri="{FF2B5EF4-FFF2-40B4-BE49-F238E27FC236}">
              <a16:creationId xmlns:a16="http://schemas.microsoft.com/office/drawing/2014/main" id="{8BA04A41-6B42-4ADC-8248-9D33E64BF4B0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4" name="Arrow: Down 1483">
          <a:extLst>
            <a:ext uri="{FF2B5EF4-FFF2-40B4-BE49-F238E27FC236}">
              <a16:creationId xmlns:a16="http://schemas.microsoft.com/office/drawing/2014/main" id="{20AF39D4-1FD5-4A26-91A9-6DA767BCE547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198</xdr:row>
      <xdr:rowOff>0</xdr:rowOff>
    </xdr:from>
    <xdr:to>
      <xdr:col>5</xdr:col>
      <xdr:colOff>83820</xdr:colOff>
      <xdr:row>198</xdr:row>
      <xdr:rowOff>114300</xdr:rowOff>
    </xdr:to>
    <xdr:sp macro="" textlink="">
      <xdr:nvSpPr>
        <xdr:cNvPr id="1486" name="Arrow: Down 1485">
          <a:extLst>
            <a:ext uri="{FF2B5EF4-FFF2-40B4-BE49-F238E27FC236}">
              <a16:creationId xmlns:a16="http://schemas.microsoft.com/office/drawing/2014/main" id="{0BBCD458-9669-430B-8C52-ADF09203020D}"/>
            </a:ext>
          </a:extLst>
        </xdr:cNvPr>
        <xdr:cNvSpPr/>
      </xdr:nvSpPr>
      <xdr:spPr>
        <a:xfrm rot="10800000">
          <a:off x="192786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198</xdr:row>
      <xdr:rowOff>0</xdr:rowOff>
    </xdr:from>
    <xdr:to>
      <xdr:col>11</xdr:col>
      <xdr:colOff>83820</xdr:colOff>
      <xdr:row>198</xdr:row>
      <xdr:rowOff>114300</xdr:rowOff>
    </xdr:to>
    <xdr:sp macro="" textlink="">
      <xdr:nvSpPr>
        <xdr:cNvPr id="1487" name="Arrow: Down 1486">
          <a:extLst>
            <a:ext uri="{FF2B5EF4-FFF2-40B4-BE49-F238E27FC236}">
              <a16:creationId xmlns:a16="http://schemas.microsoft.com/office/drawing/2014/main" id="{42FE42B0-FD31-4D60-83D7-F99AA0025F01}"/>
            </a:ext>
          </a:extLst>
        </xdr:cNvPr>
        <xdr:cNvSpPr/>
      </xdr:nvSpPr>
      <xdr:spPr>
        <a:xfrm rot="10800000">
          <a:off x="361950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198</xdr:row>
      <xdr:rowOff>0</xdr:rowOff>
    </xdr:from>
    <xdr:to>
      <xdr:col>39</xdr:col>
      <xdr:colOff>83820</xdr:colOff>
      <xdr:row>198</xdr:row>
      <xdr:rowOff>114300</xdr:rowOff>
    </xdr:to>
    <xdr:sp macro="" textlink="">
      <xdr:nvSpPr>
        <xdr:cNvPr id="1488" name="Arrow: Down 1487">
          <a:extLst>
            <a:ext uri="{FF2B5EF4-FFF2-40B4-BE49-F238E27FC236}">
              <a16:creationId xmlns:a16="http://schemas.microsoft.com/office/drawing/2014/main" id="{1963A889-C213-4116-8ECA-606379D29861}"/>
            </a:ext>
          </a:extLst>
        </xdr:cNvPr>
        <xdr:cNvSpPr/>
      </xdr:nvSpPr>
      <xdr:spPr>
        <a:xfrm rot="10800000">
          <a:off x="95250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198</xdr:row>
      <xdr:rowOff>0</xdr:rowOff>
    </xdr:from>
    <xdr:to>
      <xdr:col>24</xdr:col>
      <xdr:colOff>83820</xdr:colOff>
      <xdr:row>198</xdr:row>
      <xdr:rowOff>114300</xdr:rowOff>
    </xdr:to>
    <xdr:sp macro="" textlink="">
      <xdr:nvSpPr>
        <xdr:cNvPr id="1489" name="Arrow: Down 1488">
          <a:extLst>
            <a:ext uri="{FF2B5EF4-FFF2-40B4-BE49-F238E27FC236}">
              <a16:creationId xmlns:a16="http://schemas.microsoft.com/office/drawing/2014/main" id="{03B39E06-B2D1-44E2-A695-42ADBC9E9004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198</xdr:row>
      <xdr:rowOff>0</xdr:rowOff>
    </xdr:from>
    <xdr:to>
      <xdr:col>60</xdr:col>
      <xdr:colOff>83820</xdr:colOff>
      <xdr:row>198</xdr:row>
      <xdr:rowOff>114300</xdr:rowOff>
    </xdr:to>
    <xdr:sp macro="" textlink="">
      <xdr:nvSpPr>
        <xdr:cNvPr id="1491" name="Arrow: Down 1490">
          <a:extLst>
            <a:ext uri="{FF2B5EF4-FFF2-40B4-BE49-F238E27FC236}">
              <a16:creationId xmlns:a16="http://schemas.microsoft.com/office/drawing/2014/main" id="{194ED048-BD44-4F5F-B242-8F298F34FCEA}"/>
            </a:ext>
          </a:extLst>
        </xdr:cNvPr>
        <xdr:cNvSpPr/>
      </xdr:nvSpPr>
      <xdr:spPr>
        <a:xfrm rot="10800000">
          <a:off x="16139160" y="3630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2" name="Arrow: Down 1491">
          <a:extLst>
            <a:ext uri="{FF2B5EF4-FFF2-40B4-BE49-F238E27FC236}">
              <a16:creationId xmlns:a16="http://schemas.microsoft.com/office/drawing/2014/main" id="{38CC6BD5-E5BC-44F2-9D7F-2A1471C0DD8F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3" name="Arrow: Down 1492">
          <a:extLst>
            <a:ext uri="{FF2B5EF4-FFF2-40B4-BE49-F238E27FC236}">
              <a16:creationId xmlns:a16="http://schemas.microsoft.com/office/drawing/2014/main" id="{F5AA5589-5547-4657-B280-1E16D8D9636D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4" name="Arrow: Down 1493">
          <a:extLst>
            <a:ext uri="{FF2B5EF4-FFF2-40B4-BE49-F238E27FC236}">
              <a16:creationId xmlns:a16="http://schemas.microsoft.com/office/drawing/2014/main" id="{F2572DF9-C536-4750-AF74-5063342570B7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5" name="Arrow: Down 1494">
          <a:extLst>
            <a:ext uri="{FF2B5EF4-FFF2-40B4-BE49-F238E27FC236}">
              <a16:creationId xmlns:a16="http://schemas.microsoft.com/office/drawing/2014/main" id="{A0AACC56-FC5E-40B4-AB87-F8C6AC90E5CC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199</xdr:row>
      <xdr:rowOff>0</xdr:rowOff>
    </xdr:from>
    <xdr:to>
      <xdr:col>39</xdr:col>
      <xdr:colOff>83820</xdr:colOff>
      <xdr:row>199</xdr:row>
      <xdr:rowOff>114300</xdr:rowOff>
    </xdr:to>
    <xdr:sp macro="" textlink="">
      <xdr:nvSpPr>
        <xdr:cNvPr id="1498" name="Arrow: Down 1497">
          <a:extLst>
            <a:ext uri="{FF2B5EF4-FFF2-40B4-BE49-F238E27FC236}">
              <a16:creationId xmlns:a16="http://schemas.microsoft.com/office/drawing/2014/main" id="{58ECD722-DE78-4B88-A626-B51EAE75D3F8}"/>
            </a:ext>
          </a:extLst>
        </xdr:cNvPr>
        <xdr:cNvSpPr/>
      </xdr:nvSpPr>
      <xdr:spPr>
        <a:xfrm rot="10800000">
          <a:off x="95250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199</xdr:row>
      <xdr:rowOff>0</xdr:rowOff>
    </xdr:from>
    <xdr:to>
      <xdr:col>24</xdr:col>
      <xdr:colOff>83820</xdr:colOff>
      <xdr:row>199</xdr:row>
      <xdr:rowOff>114300</xdr:rowOff>
    </xdr:to>
    <xdr:sp macro="" textlink="">
      <xdr:nvSpPr>
        <xdr:cNvPr id="1499" name="Arrow: Down 1498">
          <a:extLst>
            <a:ext uri="{FF2B5EF4-FFF2-40B4-BE49-F238E27FC236}">
              <a16:creationId xmlns:a16="http://schemas.microsoft.com/office/drawing/2014/main" id="{8463B461-58CF-495C-B64A-484610B64FB6}"/>
            </a:ext>
          </a:extLst>
        </xdr:cNvPr>
        <xdr:cNvSpPr/>
      </xdr:nvSpPr>
      <xdr:spPr>
        <a:xfrm>
          <a:off x="63627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199</xdr:row>
      <xdr:rowOff>0</xdr:rowOff>
    </xdr:from>
    <xdr:to>
      <xdr:col>5</xdr:col>
      <xdr:colOff>83820</xdr:colOff>
      <xdr:row>199</xdr:row>
      <xdr:rowOff>114300</xdr:rowOff>
    </xdr:to>
    <xdr:sp macro="" textlink="">
      <xdr:nvSpPr>
        <xdr:cNvPr id="1501" name="Arrow: Down 1500">
          <a:extLst>
            <a:ext uri="{FF2B5EF4-FFF2-40B4-BE49-F238E27FC236}">
              <a16:creationId xmlns:a16="http://schemas.microsoft.com/office/drawing/2014/main" id="{C2AF8F5C-464C-45C7-B111-F7677AA18C4F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199</xdr:row>
      <xdr:rowOff>0</xdr:rowOff>
    </xdr:from>
    <xdr:to>
      <xdr:col>11</xdr:col>
      <xdr:colOff>83820</xdr:colOff>
      <xdr:row>199</xdr:row>
      <xdr:rowOff>114300</xdr:rowOff>
    </xdr:to>
    <xdr:sp macro="" textlink="">
      <xdr:nvSpPr>
        <xdr:cNvPr id="1503" name="Arrow: Down 1502">
          <a:extLst>
            <a:ext uri="{FF2B5EF4-FFF2-40B4-BE49-F238E27FC236}">
              <a16:creationId xmlns:a16="http://schemas.microsoft.com/office/drawing/2014/main" id="{017DEDC8-0DA3-432F-9A6A-2EB9DD90BF76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199</xdr:row>
      <xdr:rowOff>0</xdr:rowOff>
    </xdr:from>
    <xdr:to>
      <xdr:col>60</xdr:col>
      <xdr:colOff>83820</xdr:colOff>
      <xdr:row>199</xdr:row>
      <xdr:rowOff>114300</xdr:rowOff>
    </xdr:to>
    <xdr:sp macro="" textlink="">
      <xdr:nvSpPr>
        <xdr:cNvPr id="1504" name="Arrow: Down 1503">
          <a:extLst>
            <a:ext uri="{FF2B5EF4-FFF2-40B4-BE49-F238E27FC236}">
              <a16:creationId xmlns:a16="http://schemas.microsoft.com/office/drawing/2014/main" id="{DCC554AF-5761-4E51-B049-D5F7BF094AEF}"/>
            </a:ext>
          </a:extLst>
        </xdr:cNvPr>
        <xdr:cNvSpPr/>
      </xdr:nvSpPr>
      <xdr:spPr>
        <a:xfrm>
          <a:off x="161391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5" name="Arrow: Down 1514">
          <a:extLst>
            <a:ext uri="{FF2B5EF4-FFF2-40B4-BE49-F238E27FC236}">
              <a16:creationId xmlns:a16="http://schemas.microsoft.com/office/drawing/2014/main" id="{22FA2283-DD31-4F10-8A8E-C3FCC4E6289C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6" name="Arrow: Down 1515">
          <a:extLst>
            <a:ext uri="{FF2B5EF4-FFF2-40B4-BE49-F238E27FC236}">
              <a16:creationId xmlns:a16="http://schemas.microsoft.com/office/drawing/2014/main" id="{DCB9369D-D1AD-48DF-B2AA-F5D057C78EA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7" name="Arrow: Down 1516">
          <a:extLst>
            <a:ext uri="{FF2B5EF4-FFF2-40B4-BE49-F238E27FC236}">
              <a16:creationId xmlns:a16="http://schemas.microsoft.com/office/drawing/2014/main" id="{00C2BDA2-C340-4B8C-BAF3-B8BF66F7EDB2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8" name="Arrow: Down 1517">
          <a:extLst>
            <a:ext uri="{FF2B5EF4-FFF2-40B4-BE49-F238E27FC236}">
              <a16:creationId xmlns:a16="http://schemas.microsoft.com/office/drawing/2014/main" id="{F7569B92-36ED-45A6-821C-85EB2070AC1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200</xdr:row>
      <xdr:rowOff>0</xdr:rowOff>
    </xdr:from>
    <xdr:to>
      <xdr:col>24</xdr:col>
      <xdr:colOff>83820</xdr:colOff>
      <xdr:row>200</xdr:row>
      <xdr:rowOff>114300</xdr:rowOff>
    </xdr:to>
    <xdr:sp macro="" textlink="">
      <xdr:nvSpPr>
        <xdr:cNvPr id="1520" name="Arrow: Down 1519">
          <a:extLst>
            <a:ext uri="{FF2B5EF4-FFF2-40B4-BE49-F238E27FC236}">
              <a16:creationId xmlns:a16="http://schemas.microsoft.com/office/drawing/2014/main" id="{469CD98C-25E2-4761-BB68-5B906AB89D31}"/>
            </a:ext>
          </a:extLst>
        </xdr:cNvPr>
        <xdr:cNvSpPr/>
      </xdr:nvSpPr>
      <xdr:spPr>
        <a:xfrm>
          <a:off x="63627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5</xdr:col>
      <xdr:colOff>83820</xdr:colOff>
      <xdr:row>200</xdr:row>
      <xdr:rowOff>114300</xdr:rowOff>
    </xdr:to>
    <xdr:sp macro="" textlink="">
      <xdr:nvSpPr>
        <xdr:cNvPr id="1521" name="Arrow: Down 1520">
          <a:extLst>
            <a:ext uri="{FF2B5EF4-FFF2-40B4-BE49-F238E27FC236}">
              <a16:creationId xmlns:a16="http://schemas.microsoft.com/office/drawing/2014/main" id="{B11B69DE-BE80-41D7-92FA-F25D02519F30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83820</xdr:colOff>
      <xdr:row>200</xdr:row>
      <xdr:rowOff>114300</xdr:rowOff>
    </xdr:to>
    <xdr:sp macro="" textlink="">
      <xdr:nvSpPr>
        <xdr:cNvPr id="1522" name="Arrow: Down 1521">
          <a:extLst>
            <a:ext uri="{FF2B5EF4-FFF2-40B4-BE49-F238E27FC236}">
              <a16:creationId xmlns:a16="http://schemas.microsoft.com/office/drawing/2014/main" id="{C30442F3-1F16-45F2-B36A-784520DBBAF9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200</xdr:row>
      <xdr:rowOff>0</xdr:rowOff>
    </xdr:from>
    <xdr:to>
      <xdr:col>39</xdr:col>
      <xdr:colOff>83820</xdr:colOff>
      <xdr:row>200</xdr:row>
      <xdr:rowOff>114300</xdr:rowOff>
    </xdr:to>
    <xdr:sp macro="" textlink="">
      <xdr:nvSpPr>
        <xdr:cNvPr id="1524" name="Arrow: Down 1523">
          <a:extLst>
            <a:ext uri="{FF2B5EF4-FFF2-40B4-BE49-F238E27FC236}">
              <a16:creationId xmlns:a16="http://schemas.microsoft.com/office/drawing/2014/main" id="{56482B25-76D2-4924-8CEB-338262AC6285}"/>
            </a:ext>
          </a:extLst>
        </xdr:cNvPr>
        <xdr:cNvSpPr/>
      </xdr:nvSpPr>
      <xdr:spPr>
        <a:xfrm>
          <a:off x="952500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200</xdr:row>
      <xdr:rowOff>0</xdr:rowOff>
    </xdr:from>
    <xdr:to>
      <xdr:col>60</xdr:col>
      <xdr:colOff>83820</xdr:colOff>
      <xdr:row>200</xdr:row>
      <xdr:rowOff>114300</xdr:rowOff>
    </xdr:to>
    <xdr:sp macro="" textlink="">
      <xdr:nvSpPr>
        <xdr:cNvPr id="1525" name="Arrow: Down 1524">
          <a:extLst>
            <a:ext uri="{FF2B5EF4-FFF2-40B4-BE49-F238E27FC236}">
              <a16:creationId xmlns:a16="http://schemas.microsoft.com/office/drawing/2014/main" id="{1A702772-5954-4734-84EF-AC7CB5432AC9}"/>
            </a:ext>
          </a:extLst>
        </xdr:cNvPr>
        <xdr:cNvSpPr/>
      </xdr:nvSpPr>
      <xdr:spPr>
        <a:xfrm rot="10800000">
          <a:off x="1613916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6" name="Arrow: Down 1525">
          <a:extLst>
            <a:ext uri="{FF2B5EF4-FFF2-40B4-BE49-F238E27FC236}">
              <a16:creationId xmlns:a16="http://schemas.microsoft.com/office/drawing/2014/main" id="{89AD4741-D139-48D2-B8D8-D17E743448FC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7" name="Arrow: Down 1526">
          <a:extLst>
            <a:ext uri="{FF2B5EF4-FFF2-40B4-BE49-F238E27FC236}">
              <a16:creationId xmlns:a16="http://schemas.microsoft.com/office/drawing/2014/main" id="{AD2B9880-0EEA-4A15-9889-E450AFBDC8FA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8" name="Arrow: Down 1527">
          <a:extLst>
            <a:ext uri="{FF2B5EF4-FFF2-40B4-BE49-F238E27FC236}">
              <a16:creationId xmlns:a16="http://schemas.microsoft.com/office/drawing/2014/main" id="{DAA8D9FB-4708-4EFC-B13E-CDE3A81468A8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9" name="Arrow: Down 1528">
          <a:extLst>
            <a:ext uri="{FF2B5EF4-FFF2-40B4-BE49-F238E27FC236}">
              <a16:creationId xmlns:a16="http://schemas.microsoft.com/office/drawing/2014/main" id="{0E421F5F-7DF7-4037-8A2C-66F0E0D77B6E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201</xdr:row>
      <xdr:rowOff>0</xdr:rowOff>
    </xdr:from>
    <xdr:to>
      <xdr:col>60</xdr:col>
      <xdr:colOff>83820</xdr:colOff>
      <xdr:row>201</xdr:row>
      <xdr:rowOff>114300</xdr:rowOff>
    </xdr:to>
    <xdr:sp macro="" textlink="">
      <xdr:nvSpPr>
        <xdr:cNvPr id="1536" name="Arrow: Down 1535">
          <a:extLst>
            <a:ext uri="{FF2B5EF4-FFF2-40B4-BE49-F238E27FC236}">
              <a16:creationId xmlns:a16="http://schemas.microsoft.com/office/drawing/2014/main" id="{EDE3D347-77DB-4C52-A165-4F20ABDC505A}"/>
            </a:ext>
          </a:extLst>
        </xdr:cNvPr>
        <xdr:cNvSpPr/>
      </xdr:nvSpPr>
      <xdr:spPr>
        <a:xfrm>
          <a:off x="1613916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201</xdr:row>
      <xdr:rowOff>0</xdr:rowOff>
    </xdr:from>
    <xdr:to>
      <xdr:col>39</xdr:col>
      <xdr:colOff>83820</xdr:colOff>
      <xdr:row>201</xdr:row>
      <xdr:rowOff>114300</xdr:rowOff>
    </xdr:to>
    <xdr:sp macro="" textlink="">
      <xdr:nvSpPr>
        <xdr:cNvPr id="1537" name="Arrow: Down 1536">
          <a:extLst>
            <a:ext uri="{FF2B5EF4-FFF2-40B4-BE49-F238E27FC236}">
              <a16:creationId xmlns:a16="http://schemas.microsoft.com/office/drawing/2014/main" id="{2EDEFE2E-B5B1-4175-8E4C-58A0B7E27AA5}"/>
            </a:ext>
          </a:extLst>
        </xdr:cNvPr>
        <xdr:cNvSpPr/>
      </xdr:nvSpPr>
      <xdr:spPr>
        <a:xfrm rot="10800000">
          <a:off x="952500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201</xdr:row>
      <xdr:rowOff>0</xdr:rowOff>
    </xdr:from>
    <xdr:to>
      <xdr:col>5</xdr:col>
      <xdr:colOff>83820</xdr:colOff>
      <xdr:row>201</xdr:row>
      <xdr:rowOff>114300</xdr:rowOff>
    </xdr:to>
    <xdr:sp macro="" textlink="">
      <xdr:nvSpPr>
        <xdr:cNvPr id="1538" name="Arrow: Down 1537">
          <a:extLst>
            <a:ext uri="{FF2B5EF4-FFF2-40B4-BE49-F238E27FC236}">
              <a16:creationId xmlns:a16="http://schemas.microsoft.com/office/drawing/2014/main" id="{F8452C6D-53CA-451C-8779-C4B075E46D22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83820</xdr:colOff>
      <xdr:row>201</xdr:row>
      <xdr:rowOff>114300</xdr:rowOff>
    </xdr:to>
    <xdr:sp macro="" textlink="">
      <xdr:nvSpPr>
        <xdr:cNvPr id="1540" name="Arrow: Down 1539">
          <a:extLst>
            <a:ext uri="{FF2B5EF4-FFF2-40B4-BE49-F238E27FC236}">
              <a16:creationId xmlns:a16="http://schemas.microsoft.com/office/drawing/2014/main" id="{FCACC174-5CE5-47B6-9790-544EDD9D7A98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201</xdr:row>
      <xdr:rowOff>0</xdr:rowOff>
    </xdr:from>
    <xdr:to>
      <xdr:col>24</xdr:col>
      <xdr:colOff>83820</xdr:colOff>
      <xdr:row>201</xdr:row>
      <xdr:rowOff>114300</xdr:rowOff>
    </xdr:to>
    <xdr:sp macro="" textlink="">
      <xdr:nvSpPr>
        <xdr:cNvPr id="1542" name="Arrow: Down 1541">
          <a:extLst>
            <a:ext uri="{FF2B5EF4-FFF2-40B4-BE49-F238E27FC236}">
              <a16:creationId xmlns:a16="http://schemas.microsoft.com/office/drawing/2014/main" id="{80F06599-0A17-4B7D-B31E-7237DFCA1389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14</xdr:col>
      <xdr:colOff>83820</xdr:colOff>
      <xdr:row>196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B4AC78FA-B0C6-4740-B31E-739A11EC349C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197</xdr:row>
      <xdr:rowOff>0</xdr:rowOff>
    </xdr:from>
    <xdr:to>
      <xdr:col>14</xdr:col>
      <xdr:colOff>83820</xdr:colOff>
      <xdr:row>197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E2A1E64D-C0CC-4C11-B043-F6C17D761108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14</xdr:col>
      <xdr:colOff>83820</xdr:colOff>
      <xdr:row>198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7897FB6D-F8B6-490B-8387-981D9325401C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199</xdr:row>
      <xdr:rowOff>0</xdr:rowOff>
    </xdr:from>
    <xdr:to>
      <xdr:col>14</xdr:col>
      <xdr:colOff>83820</xdr:colOff>
      <xdr:row>199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C1462911-4C55-4750-8CBD-08DD576EFB2E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14</xdr:col>
      <xdr:colOff>83820</xdr:colOff>
      <xdr:row>200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7A84A5E-28DF-42FC-955E-DCF38B8C684F}"/>
            </a:ext>
          </a:extLst>
        </xdr:cNvPr>
        <xdr:cNvSpPr/>
      </xdr:nvSpPr>
      <xdr:spPr>
        <a:xfrm rot="10800000">
          <a:off x="5158740" y="36591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201</xdr:row>
      <xdr:rowOff>0</xdr:rowOff>
    </xdr:from>
    <xdr:to>
      <xdr:col>14</xdr:col>
      <xdr:colOff>83820</xdr:colOff>
      <xdr:row>201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D37D044-2A90-40DC-9A97-FE6354D1C096}"/>
            </a:ext>
          </a:extLst>
        </xdr:cNvPr>
        <xdr:cNvSpPr/>
      </xdr:nvSpPr>
      <xdr:spPr>
        <a:xfrm>
          <a:off x="5158740" y="3695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202</xdr:row>
      <xdr:rowOff>0</xdr:rowOff>
    </xdr:from>
    <xdr:to>
      <xdr:col>14</xdr:col>
      <xdr:colOff>83820</xdr:colOff>
      <xdr:row>202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A15BF973-6EC4-4540-92E6-CC21B246F229}"/>
            </a:ext>
          </a:extLst>
        </xdr:cNvPr>
        <xdr:cNvSpPr/>
      </xdr:nvSpPr>
      <xdr:spPr>
        <a:xfrm rot="10800000">
          <a:off x="5158740" y="37139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150</xdr:row>
      <xdr:rowOff>0</xdr:rowOff>
    </xdr:from>
    <xdr:to>
      <xdr:col>28</xdr:col>
      <xdr:colOff>83820</xdr:colOff>
      <xdr:row>150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B0418E2C-7975-4562-8288-067E5253B254}"/>
            </a:ext>
          </a:extLst>
        </xdr:cNvPr>
        <xdr:cNvSpPr/>
      </xdr:nvSpPr>
      <xdr:spPr>
        <a:xfrm>
          <a:off x="11803380" y="2780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151</xdr:row>
      <xdr:rowOff>0</xdr:rowOff>
    </xdr:from>
    <xdr:to>
      <xdr:col>28</xdr:col>
      <xdr:colOff>83820</xdr:colOff>
      <xdr:row>151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6E5E69A-5069-4B54-A04E-615F0625BA5B}"/>
            </a:ext>
          </a:extLst>
        </xdr:cNvPr>
        <xdr:cNvSpPr/>
      </xdr:nvSpPr>
      <xdr:spPr>
        <a:xfrm rot="10800000">
          <a:off x="11803380" y="2817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152</xdr:row>
      <xdr:rowOff>0</xdr:rowOff>
    </xdr:from>
    <xdr:to>
      <xdr:col>28</xdr:col>
      <xdr:colOff>83820</xdr:colOff>
      <xdr:row>152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935B34CC-FEE7-4357-872B-E47A295E276C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153</xdr:row>
      <xdr:rowOff>0</xdr:rowOff>
    </xdr:from>
    <xdr:to>
      <xdr:col>28</xdr:col>
      <xdr:colOff>83820</xdr:colOff>
      <xdr:row>153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258A5F2E-3B31-40DD-944A-1AE91F4719A0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154</xdr:row>
      <xdr:rowOff>0</xdr:rowOff>
    </xdr:from>
    <xdr:to>
      <xdr:col>28</xdr:col>
      <xdr:colOff>83820</xdr:colOff>
      <xdr:row>154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F4000A7-03EF-4921-9E51-6FB2341AA939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83820</xdr:colOff>
      <xdr:row>155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789BB356-D1A8-4C5E-A2C8-5060C0F1A0DA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156</xdr:row>
      <xdr:rowOff>0</xdr:rowOff>
    </xdr:from>
    <xdr:to>
      <xdr:col>28</xdr:col>
      <xdr:colOff>83820</xdr:colOff>
      <xdr:row>156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44E6D267-6B6F-4538-9D61-814B40210D08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87"/>
  <sheetViews>
    <sheetView tabSelected="1" topLeftCell="A194" zoomScaleNormal="100" workbookViewId="0">
      <selection activeCell="D213" sqref="D21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8.777343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77734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77" t="s">
        <v>5</v>
      </c>
      <c r="C1" s="577"/>
      <c r="D1" s="577"/>
    </row>
    <row r="2" spans="2:90" ht="15.6" x14ac:dyDescent="0.3">
      <c r="B2" s="577" t="s">
        <v>6</v>
      </c>
      <c r="C2" s="577"/>
      <c r="D2" s="577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82" t="s">
        <v>13</v>
      </c>
      <c r="C3" s="582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78" t="s">
        <v>11</v>
      </c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11"/>
      <c r="AE4" s="325"/>
      <c r="AF4" s="447"/>
      <c r="AG4" s="447"/>
      <c r="AH4" s="447"/>
      <c r="AI4" s="447"/>
      <c r="AJ4" s="12"/>
      <c r="AL4" s="594" t="s">
        <v>14</v>
      </c>
      <c r="AM4" s="595"/>
      <c r="AN4" s="595"/>
      <c r="AO4" s="595"/>
      <c r="AP4" s="595"/>
      <c r="AQ4" s="595"/>
      <c r="AR4" s="595"/>
      <c r="AS4" s="595"/>
      <c r="AT4" s="595"/>
      <c r="AU4" s="595"/>
      <c r="AV4" s="595"/>
      <c r="AW4" s="595"/>
      <c r="AX4" s="595"/>
      <c r="AY4" s="595"/>
      <c r="AZ4" s="595"/>
      <c r="BA4" s="595"/>
      <c r="BB4" s="595"/>
      <c r="BC4" s="595"/>
      <c r="BD4" s="595"/>
      <c r="BE4" s="595"/>
      <c r="BF4" s="595"/>
      <c r="BG4" s="595"/>
      <c r="BH4" s="595"/>
      <c r="BI4" s="595"/>
      <c r="BJ4" s="595"/>
      <c r="BK4" s="595"/>
      <c r="BL4" s="595"/>
      <c r="BM4" s="595"/>
      <c r="BN4" s="595"/>
      <c r="BO4" s="595"/>
      <c r="BP4" s="595"/>
      <c r="BQ4" s="595"/>
      <c r="BR4" s="595"/>
      <c r="BS4" s="595"/>
      <c r="BT4" s="595"/>
      <c r="BU4" s="596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83" t="s">
        <v>12</v>
      </c>
      <c r="G6" s="583"/>
      <c r="H6" s="583"/>
      <c r="I6" s="583"/>
      <c r="J6" s="583"/>
      <c r="K6" s="583"/>
      <c r="L6" s="583"/>
      <c r="M6" s="335"/>
      <c r="N6" s="543"/>
      <c r="O6" s="335"/>
      <c r="P6" s="336"/>
      <c r="Q6" s="589" t="s">
        <v>124</v>
      </c>
      <c r="R6" s="583"/>
      <c r="S6" s="583"/>
      <c r="T6" s="583"/>
      <c r="U6" s="590"/>
      <c r="V6" s="3"/>
      <c r="W6" s="8" t="s">
        <v>7</v>
      </c>
      <c r="X6" s="30"/>
      <c r="Y6" s="584">
        <v>1.2500000000000001E-2</v>
      </c>
      <c r="Z6" s="584"/>
      <c r="AA6" s="584"/>
      <c r="AB6" s="584"/>
      <c r="AC6" s="584"/>
      <c r="AD6" s="584"/>
      <c r="AE6" s="584"/>
      <c r="AF6" s="584"/>
      <c r="AG6" s="584"/>
      <c r="AH6" s="584"/>
      <c r="AI6" s="584"/>
      <c r="AJ6" s="585"/>
      <c r="AK6" s="3"/>
      <c r="AL6" s="601" t="s">
        <v>27</v>
      </c>
      <c r="AM6" s="602"/>
      <c r="AN6" s="602"/>
      <c r="AO6" s="602"/>
      <c r="AP6" s="602"/>
      <c r="AQ6" s="602"/>
      <c r="AR6" s="602"/>
      <c r="AS6" s="602"/>
      <c r="AT6" s="602"/>
      <c r="AU6" s="602"/>
      <c r="AV6" s="602"/>
      <c r="AW6" s="602"/>
      <c r="AX6" s="602"/>
      <c r="AY6" s="603"/>
      <c r="AZ6" s="3"/>
      <c r="BA6" s="604" t="s">
        <v>7</v>
      </c>
      <c r="BB6" s="598"/>
      <c r="BC6" s="598"/>
      <c r="BD6" s="97"/>
      <c r="BE6" s="597" t="s">
        <v>26</v>
      </c>
      <c r="BF6" s="597"/>
      <c r="BG6" s="597"/>
      <c r="BH6" s="597"/>
      <c r="BI6" s="597"/>
      <c r="BJ6" s="597"/>
      <c r="BK6" s="597"/>
      <c r="BL6" s="597"/>
      <c r="BM6" s="597"/>
      <c r="BN6" s="597"/>
      <c r="BO6" s="597"/>
      <c r="BP6" s="597"/>
      <c r="BQ6" s="597"/>
      <c r="BR6" s="598"/>
      <c r="BS6" s="598"/>
      <c r="BT6" s="598"/>
      <c r="BU6" s="599"/>
      <c r="BV6" s="3"/>
    </row>
    <row r="7" spans="2:90" ht="16.2" x14ac:dyDescent="0.3">
      <c r="D7" s="580" t="s">
        <v>20</v>
      </c>
      <c r="E7" s="581"/>
      <c r="F7" s="581"/>
      <c r="G7" s="581"/>
      <c r="H7" s="581"/>
      <c r="I7" s="581"/>
      <c r="J7" s="581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586" t="s">
        <v>35</v>
      </c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8"/>
      <c r="AK7" s="3"/>
      <c r="AL7" s="580" t="s">
        <v>76</v>
      </c>
      <c r="AM7" s="581"/>
      <c r="AN7" s="581"/>
      <c r="AO7" s="581"/>
      <c r="AP7" s="581"/>
      <c r="AQ7" s="581"/>
      <c r="AR7" s="581"/>
      <c r="AS7" s="581"/>
      <c r="AT7" s="581"/>
      <c r="AU7" s="581"/>
      <c r="AV7" s="581"/>
      <c r="AW7" s="581"/>
      <c r="AX7" s="581"/>
      <c r="AY7" s="600"/>
      <c r="BA7" s="580" t="s">
        <v>25</v>
      </c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581"/>
      <c r="BQ7" s="581"/>
      <c r="BR7" s="581"/>
      <c r="BS7" s="581"/>
      <c r="BT7" s="581"/>
      <c r="BU7" s="600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92" t="s">
        <v>1</v>
      </c>
      <c r="BB8" s="593"/>
      <c r="BC8" s="593"/>
      <c r="BD8" s="64"/>
      <c r="BE8" s="593" t="s">
        <v>24</v>
      </c>
      <c r="BF8" s="593"/>
      <c r="BG8" s="593"/>
      <c r="BH8" s="593"/>
      <c r="BI8" s="605"/>
      <c r="BJ8" s="606" t="s">
        <v>124</v>
      </c>
      <c r="BK8" s="607"/>
      <c r="BL8" s="607"/>
      <c r="BM8" s="608"/>
      <c r="BN8" s="592" t="s">
        <v>24</v>
      </c>
      <c r="BO8" s="593"/>
      <c r="BP8" s="593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+H113+D114+2141+4101+9611-5628+30786</f>
        <v>2879836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27427.009523809524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+AA113+W114+670+642-57-19</f>
        <v>132665</v>
      </c>
      <c r="AB114" s="33"/>
      <c r="AC114" s="46">
        <f t="shared" si="73"/>
        <v>4.6066859362824827E-2</v>
      </c>
      <c r="AD114" s="33"/>
      <c r="AE114" s="33">
        <f t="shared" si="74"/>
        <v>1263.4761904761904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0.41154392125107125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2937927</v>
      </c>
      <c r="I115" s="505" t="s">
        <v>150</v>
      </c>
      <c r="J115" s="38">
        <f t="shared" si="70"/>
        <v>2.0171634773646831E-2</v>
      </c>
      <c r="K115" s="16"/>
      <c r="L115" s="16"/>
      <c r="M115" s="16"/>
      <c r="N115" s="16"/>
      <c r="O115" s="16">
        <f t="shared" si="71"/>
        <v>27716.292452830188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133281</v>
      </c>
      <c r="AB115" s="33"/>
      <c r="AC115" s="46">
        <f t="shared" si="73"/>
        <v>4.53656608894639E-2</v>
      </c>
      <c r="AD115" s="33"/>
      <c r="AE115" s="33">
        <f t="shared" si="74"/>
        <v>1257.367924528302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0.42053053054075201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2987430</v>
      </c>
      <c r="I116" s="505" t="s">
        <v>150</v>
      </c>
      <c r="J116" s="38">
        <f t="shared" si="70"/>
        <v>1.5856078112219944E-2</v>
      </c>
      <c r="K116" s="16"/>
      <c r="L116" s="16"/>
      <c r="M116" s="16"/>
      <c r="N116" s="16"/>
      <c r="O116" s="16">
        <f t="shared" si="71"/>
        <v>27919.906542056076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133535</v>
      </c>
      <c r="AB116" s="33"/>
      <c r="AC116" s="46">
        <f t="shared" si="73"/>
        <v>4.4698955289328955E-2</v>
      </c>
      <c r="AD116" s="33"/>
      <c r="AE116" s="33">
        <f t="shared" si="74"/>
        <v>1247.9906542056074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0.42190277261726633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3031960</v>
      </c>
      <c r="I117" s="16"/>
      <c r="J117" s="38">
        <f t="shared" si="70"/>
        <v>1.4905788587515021E-2</v>
      </c>
      <c r="K117" s="16"/>
      <c r="L117" s="16"/>
      <c r="M117" s="16"/>
      <c r="N117" s="16">
        <f>SUM(D111:D117)</f>
        <v>350953</v>
      </c>
      <c r="O117" s="16">
        <f t="shared" si="71"/>
        <v>28073.703703703704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133786</v>
      </c>
      <c r="AB117" s="33"/>
      <c r="AC117" s="46">
        <f t="shared" si="73"/>
        <v>4.4125252312035776E-2</v>
      </c>
      <c r="AD117" s="33"/>
      <c r="AE117" s="33">
        <f t="shared" si="74"/>
        <v>1238.7592592592594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0.42400262536445071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3085572</v>
      </c>
      <c r="I118" s="16"/>
      <c r="J118" s="38">
        <f t="shared" si="70"/>
        <v>1.7682291323104525E-2</v>
      </c>
      <c r="K118" s="16"/>
      <c r="L118" s="16"/>
      <c r="M118" s="16"/>
      <c r="N118" s="16"/>
      <c r="O118" s="16">
        <f t="shared" si="71"/>
        <v>28308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134164</v>
      </c>
      <c r="AB118" s="33"/>
      <c r="AC118" s="46">
        <f t="shared" si="73"/>
        <v>4.3481079034940688E-2</v>
      </c>
      <c r="AD118" s="33"/>
      <c r="AE118" s="33">
        <f t="shared" si="74"/>
        <v>1230.8623853211009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0.42940077236894814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3141014</v>
      </c>
      <c r="I119" s="16"/>
      <c r="J119" s="38">
        <f t="shared" si="70"/>
        <v>1.7968143345869096E-2</v>
      </c>
      <c r="K119" s="16"/>
      <c r="L119" s="16"/>
      <c r="M119" s="16"/>
      <c r="N119" s="16"/>
      <c r="O119" s="16">
        <f t="shared" si="71"/>
        <v>28554.672727272726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135157</v>
      </c>
      <c r="AB119" s="33"/>
      <c r="AC119" s="46">
        <f t="shared" si="73"/>
        <v>4.3029734983670881E-2</v>
      </c>
      <c r="AD119" s="33"/>
      <c r="AE119" s="33">
        <f t="shared" si="74"/>
        <v>1228.7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0.43134573739563081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3202862</v>
      </c>
      <c r="I120" s="16"/>
      <c r="J120" s="38">
        <f t="shared" si="70"/>
        <v>1.9690456648712804E-2</v>
      </c>
      <c r="K120" s="16"/>
      <c r="L120" s="16"/>
      <c r="M120" s="16"/>
      <c r="N120" s="16"/>
      <c r="O120" s="16">
        <f t="shared" si="71"/>
        <v>28854.612612612611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136047</v>
      </c>
      <c r="AB120" s="33"/>
      <c r="AC120" s="46">
        <f t="shared" si="73"/>
        <v>4.2476697403759513E-2</v>
      </c>
      <c r="AD120" s="33"/>
      <c r="AE120" s="33">
        <f t="shared" si="74"/>
        <v>1225.6486486486488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0.43482329241784379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3263929</v>
      </c>
      <c r="I121" s="16"/>
      <c r="J121" s="38">
        <f t="shared" si="70"/>
        <v>1.9066385001913912E-2</v>
      </c>
      <c r="K121" s="16"/>
      <c r="L121" s="16"/>
      <c r="M121" s="16"/>
      <c r="N121" s="16"/>
      <c r="O121" s="16">
        <f t="shared" si="71"/>
        <v>29142.223214285714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137007</v>
      </c>
      <c r="AB121" s="33"/>
      <c r="AC121" s="46">
        <f t="shared" si="73"/>
        <v>4.1976096906519718E-2</v>
      </c>
      <c r="AD121" s="33"/>
      <c r="AE121" s="33">
        <f t="shared" si="74"/>
        <v>1223.2767857142858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0.43702788878066895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3335716</v>
      </c>
      <c r="I122" s="16"/>
      <c r="J122" s="38">
        <f t="shared" si="70"/>
        <v>2.1994044600847629E-2</v>
      </c>
      <c r="K122" s="16"/>
      <c r="L122" s="16"/>
      <c r="M122" s="16"/>
      <c r="N122" s="16"/>
      <c r="O122" s="16">
        <f t="shared" si="71"/>
        <v>29519.610619469026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137856</v>
      </c>
      <c r="AB122" s="33"/>
      <c r="AC122" s="46">
        <f t="shared" si="73"/>
        <v>4.132725927507018E-2</v>
      </c>
      <c r="AD122" s="33"/>
      <c r="AE122" s="33">
        <f t="shared" si="74"/>
        <v>1219.9646017699115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0.43783553515946799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3397435</v>
      </c>
      <c r="I123" s="16"/>
      <c r="J123" s="38">
        <f t="shared" si="70"/>
        <v>1.8502474431276523E-2</v>
      </c>
      <c r="K123" s="16"/>
      <c r="L123" s="16"/>
      <c r="M123" s="16"/>
      <c r="N123" s="16"/>
      <c r="O123" s="16">
        <f t="shared" si="71"/>
        <v>29802.061403508771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138587</v>
      </c>
      <c r="AB123" s="33"/>
      <c r="AC123" s="46">
        <f t="shared" si="73"/>
        <v>4.0791656058173295E-2</v>
      </c>
      <c r="AD123" s="33"/>
      <c r="AE123" s="33">
        <f t="shared" si="74"/>
        <v>1215.6754385964912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0.4386974290898869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3455784</v>
      </c>
      <c r="I124" s="16"/>
      <c r="J124" s="38">
        <f t="shared" si="70"/>
        <v>1.7174427178150577E-2</v>
      </c>
      <c r="K124" s="16"/>
      <c r="L124" s="16"/>
      <c r="M124" s="16"/>
      <c r="N124" s="16">
        <f>SUM(D118:D124)</f>
        <v>423824</v>
      </c>
      <c r="O124" s="16">
        <f t="shared" si="71"/>
        <v>30050.295652173914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138967</v>
      </c>
      <c r="AB124" s="33"/>
      <c r="AC124" s="46">
        <f t="shared" si="73"/>
        <v>4.0212872100802599E-2</v>
      </c>
      <c r="AD124" s="33"/>
      <c r="AE124" s="33">
        <f t="shared" si="74"/>
        <v>1208.4086956521739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0.43899850222120362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3521272</v>
      </c>
      <c r="I125" s="16"/>
      <c r="J125" s="38">
        <f t="shared" si="70"/>
        <v>1.8950258465228152E-2</v>
      </c>
      <c r="K125" s="16"/>
      <c r="L125" s="16"/>
      <c r="M125" s="16"/>
      <c r="N125" s="16"/>
      <c r="O125" s="16">
        <f t="shared" si="71"/>
        <v>30355.793103448275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139432</v>
      </c>
      <c r="AB125" s="33"/>
      <c r="AC125" s="46">
        <f t="shared" si="73"/>
        <v>3.9597054700687709E-2</v>
      </c>
      <c r="AD125" s="33"/>
      <c r="AE125" s="33">
        <f t="shared" si="74"/>
        <v>1202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0.44003104559943113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3587320</v>
      </c>
      <c r="I126" s="16"/>
      <c r="J126" s="38">
        <f t="shared" si="70"/>
        <v>1.8756858317108136E-2</v>
      </c>
      <c r="K126" s="16"/>
      <c r="L126" s="16"/>
      <c r="M126" s="16"/>
      <c r="N126" s="16"/>
      <c r="O126" s="16">
        <f t="shared" si="71"/>
        <v>30660.854700854699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140368</v>
      </c>
      <c r="AB126" s="33"/>
      <c r="AC126" s="46">
        <f t="shared" si="73"/>
        <v>3.9128931904597306E-2</v>
      </c>
      <c r="AD126" s="33"/>
      <c r="AE126" s="33">
        <f t="shared" si="74"/>
        <v>1199.7264957264956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0.44606976796048303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3659325</v>
      </c>
      <c r="I127" s="16"/>
      <c r="J127" s="38">
        <f t="shared" ref="J127:J164" si="90">+D127/H126</f>
        <v>2.0072087240614163E-2</v>
      </c>
      <c r="K127" s="16"/>
      <c r="L127" s="16"/>
      <c r="M127" s="16"/>
      <c r="N127" s="16"/>
      <c r="O127" s="16">
        <f t="shared" ref="O127:O150" si="91">+H127/BW127</f>
        <v>31011.228813559323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141370</v>
      </c>
      <c r="AB127" s="33"/>
      <c r="AC127" s="46">
        <f t="shared" ref="AC127:AC164" si="94">+AA127/H127</f>
        <v>3.8632807963217261E-2</v>
      </c>
      <c r="AD127" s="33"/>
      <c r="AE127" s="33">
        <f t="shared" ref="AE127:AE164" si="95">+AA127/BW127</f>
        <v>1198.050847457627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0.4497993482404542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3732713</v>
      </c>
      <c r="I128" s="16"/>
      <c r="J128" s="38">
        <f t="shared" si="90"/>
        <v>2.0055064800202221E-2</v>
      </c>
      <c r="K128" s="16"/>
      <c r="L128" s="16"/>
      <c r="M128" s="16"/>
      <c r="N128" s="16"/>
      <c r="O128" s="16">
        <f t="shared" si="91"/>
        <v>31367.336134453781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142333</v>
      </c>
      <c r="AB128" s="33"/>
      <c r="AC128" s="46">
        <f t="shared" si="94"/>
        <v>3.8131246629462268E-2</v>
      </c>
      <c r="AD128" s="33"/>
      <c r="AE128" s="33">
        <f t="shared" si="95"/>
        <v>1196.0756302521008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0.44997646483938092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3807700</v>
      </c>
      <c r="I129" s="16"/>
      <c r="J129" s="38">
        <f t="shared" si="90"/>
        <v>2.0089141597545806E-2</v>
      </c>
      <c r="K129" s="16"/>
      <c r="L129" s="16"/>
      <c r="M129" s="16"/>
      <c r="N129" s="16"/>
      <c r="O129" s="16">
        <f t="shared" si="91"/>
        <v>31730.833333333332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143279</v>
      </c>
      <c r="AB129" s="33"/>
      <c r="AC129" s="46">
        <f t="shared" si="94"/>
        <v>3.7628752265146941E-2</v>
      </c>
      <c r="AD129" s="33"/>
      <c r="AE129" s="33">
        <f t="shared" si="95"/>
        <v>1193.9916666666666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0.45729259132809835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3870959</v>
      </c>
      <c r="I130" s="16"/>
      <c r="J130" s="479">
        <f t="shared" si="90"/>
        <v>1.6613441184967302E-2</v>
      </c>
      <c r="K130" s="16"/>
      <c r="L130" s="16"/>
      <c r="M130" s="16"/>
      <c r="N130" s="16"/>
      <c r="O130" s="16">
        <f t="shared" si="91"/>
        <v>31991.396694214876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144092</v>
      </c>
      <c r="AB130" s="33"/>
      <c r="AC130" s="46">
        <f t="shared" si="94"/>
        <v>3.7223850730529563E-2</v>
      </c>
      <c r="AD130" s="33"/>
      <c r="AE130" s="33">
        <f t="shared" si="95"/>
        <v>1190.8429752066115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0.45856698559710912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3936238</v>
      </c>
      <c r="I131" s="16"/>
      <c r="J131" s="479">
        <f t="shared" si="90"/>
        <v>1.6863779750702603E-2</v>
      </c>
      <c r="K131" s="16"/>
      <c r="L131" s="16"/>
      <c r="M131" s="16"/>
      <c r="N131" s="16">
        <f>SUM(D125:D131)</f>
        <v>480454</v>
      </c>
      <c r="O131" s="16">
        <f t="shared" si="91"/>
        <v>32264.245901639344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144504</v>
      </c>
      <c r="AB131" s="33"/>
      <c r="AC131" s="46">
        <f t="shared" si="94"/>
        <v>3.6711194800720888E-2</v>
      </c>
      <c r="AD131" s="33"/>
      <c r="AE131" s="33">
        <f t="shared" si="95"/>
        <v>1184.4590163934427</v>
      </c>
      <c r="AF131" s="50"/>
      <c r="AG131" s="33">
        <f>SUM(W125:W131)</f>
        <v>5537</v>
      </c>
      <c r="AH131" s="33">
        <f>SUM(D102:D208)</f>
        <v>5009536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0.45788339018118313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3999117</v>
      </c>
      <c r="I132" s="16"/>
      <c r="J132" s="479">
        <f t="shared" si="90"/>
        <v>1.5974389759968781E-2</v>
      </c>
      <c r="K132" s="16"/>
      <c r="L132" s="16"/>
      <c r="M132" s="16"/>
      <c r="N132" s="16"/>
      <c r="O132" s="16">
        <f t="shared" si="91"/>
        <v>32513.146341463416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145049</v>
      </c>
      <c r="AB132" s="33"/>
      <c r="AC132" s="46">
        <f t="shared" si="94"/>
        <v>3.6270256659157507E-2</v>
      </c>
      <c r="AD132" s="33"/>
      <c r="AE132" s="33">
        <f t="shared" si="95"/>
        <v>1179.260162601626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0.46259936881066493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4066596</v>
      </c>
      <c r="I133" s="16"/>
      <c r="J133" s="479">
        <f t="shared" si="90"/>
        <v>1.6873474819566418E-2</v>
      </c>
      <c r="K133" s="16"/>
      <c r="L133" s="16"/>
      <c r="M133" s="16"/>
      <c r="N133" s="16"/>
      <c r="O133" s="16">
        <f t="shared" si="91"/>
        <v>32795.129032258068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146214</v>
      </c>
      <c r="AB133" s="33"/>
      <c r="AC133" s="46">
        <f t="shared" si="94"/>
        <v>3.5954887084923115E-2</v>
      </c>
      <c r="AD133" s="33"/>
      <c r="AE133" s="33">
        <f t="shared" si="95"/>
        <v>1179.1451612903227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0.4639219140529327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4138563</v>
      </c>
      <c r="I134" s="16"/>
      <c r="J134" s="479">
        <f t="shared" si="90"/>
        <v>1.7697110802253287E-2</v>
      </c>
      <c r="K134" s="16"/>
      <c r="L134" s="16"/>
      <c r="M134" s="16"/>
      <c r="N134" s="16"/>
      <c r="O134" s="16">
        <f t="shared" si="91"/>
        <v>33108.504000000001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147419</v>
      </c>
      <c r="AB134" s="33"/>
      <c r="AC134" s="46">
        <f t="shared" si="94"/>
        <v>3.5620818143882307E-2</v>
      </c>
      <c r="AD134" s="33"/>
      <c r="AE134" s="33">
        <f t="shared" si="95"/>
        <v>1179.3520000000001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0.46939891938337053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4208006</v>
      </c>
      <c r="I135" s="16"/>
      <c r="J135" s="479">
        <f t="shared" si="90"/>
        <v>1.6779495684854862E-2</v>
      </c>
      <c r="K135" s="16"/>
      <c r="L135" s="16"/>
      <c r="M135" s="16"/>
      <c r="N135" s="16"/>
      <c r="O135" s="16">
        <f t="shared" si="91"/>
        <v>33396.873015873018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148585</v>
      </c>
      <c r="AB135" s="33"/>
      <c r="AC135" s="46">
        <f t="shared" si="94"/>
        <v>3.5310073227081899E-2</v>
      </c>
      <c r="AD135" s="33"/>
      <c r="AE135" s="33">
        <f t="shared" si="95"/>
        <v>1179.2460317460318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0.47044063150100074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4285984</v>
      </c>
      <c r="I136" s="16"/>
      <c r="J136" s="479">
        <f t="shared" si="90"/>
        <v>1.8530867113782632E-2</v>
      </c>
      <c r="K136" s="16"/>
      <c r="L136" s="16"/>
      <c r="M136" s="16"/>
      <c r="N136" s="16"/>
      <c r="O136" s="16">
        <f t="shared" si="91"/>
        <v>33747.905511811026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149726</v>
      </c>
      <c r="AB136" s="33"/>
      <c r="AC136" s="46">
        <f t="shared" si="94"/>
        <v>3.493386816189701E-2</v>
      </c>
      <c r="AD136" s="33"/>
      <c r="AE136" s="33">
        <f t="shared" si="95"/>
        <v>1178.9448818897638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0.47314502340652698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4353397</v>
      </c>
      <c r="I137" s="16"/>
      <c r="J137" s="479">
        <f t="shared" si="90"/>
        <v>1.5728710139841867E-2</v>
      </c>
      <c r="K137" s="16"/>
      <c r="L137" s="16"/>
      <c r="M137" s="16"/>
      <c r="N137" s="16"/>
      <c r="O137" s="16">
        <f t="shared" si="91"/>
        <v>34010.9140625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150634</v>
      </c>
      <c r="AB137" s="33"/>
      <c r="AC137" s="46">
        <f t="shared" si="94"/>
        <v>3.4601484771547369E-2</v>
      </c>
      <c r="AD137" s="33"/>
      <c r="AE137" s="33">
        <f t="shared" si="95"/>
        <v>1176.828125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0.473582354193748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4409527</v>
      </c>
      <c r="I138" s="16"/>
      <c r="J138" s="479">
        <f t="shared" si="90"/>
        <v>1.2893379583805474E-2</v>
      </c>
      <c r="K138" s="16"/>
      <c r="L138" s="16"/>
      <c r="M138" s="16"/>
      <c r="N138" s="16">
        <f>SUM(D132:D138)</f>
        <v>473289</v>
      </c>
      <c r="O138" s="16">
        <f t="shared" si="91"/>
        <v>34182.379844961237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151084</v>
      </c>
      <c r="AB138" s="33"/>
      <c r="AC138" s="46">
        <f t="shared" si="94"/>
        <v>3.4263085360402602E-2</v>
      </c>
      <c r="AD138" s="33"/>
      <c r="AE138" s="33">
        <f t="shared" si="95"/>
        <v>1171.1937984496124</v>
      </c>
      <c r="AF138" s="50"/>
      <c r="AG138" s="33">
        <f>SUM(W132:W138)</f>
        <v>6580</v>
      </c>
      <c r="AH138" s="33">
        <f>SUM(D109:D215)</f>
        <v>4790402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0.47400299397191581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4471098</v>
      </c>
      <c r="I139" s="16"/>
      <c r="J139" s="479">
        <f t="shared" si="90"/>
        <v>1.3963175642194729E-2</v>
      </c>
      <c r="K139" s="16"/>
      <c r="L139" s="16"/>
      <c r="M139" s="16"/>
      <c r="N139" s="16"/>
      <c r="O139" s="16">
        <f t="shared" si="91"/>
        <v>34393.061538461538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151680</v>
      </c>
      <c r="AB139" s="33"/>
      <c r="AC139" s="46">
        <f t="shared" si="94"/>
        <v>3.3924552760865451E-2</v>
      </c>
      <c r="AD139" s="33"/>
      <c r="AE139" s="33">
        <f t="shared" si="95"/>
        <v>1166.7692307692307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0.47786986552296551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4535827</v>
      </c>
      <c r="I140" s="16"/>
      <c r="J140" s="479">
        <f t="shared" si="90"/>
        <v>1.4477204480868011E-2</v>
      </c>
      <c r="K140" s="16"/>
      <c r="L140" s="16"/>
      <c r="M140" s="16"/>
      <c r="N140" s="16"/>
      <c r="O140" s="16">
        <f t="shared" si="91"/>
        <v>34624.633587786258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202" si="109">+V139+1</f>
        <v>32</v>
      </c>
      <c r="W140" s="34">
        <v>1245</v>
      </c>
      <c r="X140" s="33"/>
      <c r="Y140" s="33"/>
      <c r="Z140" s="33"/>
      <c r="AA140" s="33">
        <f t="shared" si="93"/>
        <v>152925</v>
      </c>
      <c r="AB140" s="33"/>
      <c r="AC140" s="46">
        <f t="shared" si="94"/>
        <v>3.3714910202703938E-2</v>
      </c>
      <c r="AD140" s="33"/>
      <c r="AE140" s="33">
        <f t="shared" si="95"/>
        <v>1167.3664122137404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0.48191740998940213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4602748</v>
      </c>
      <c r="I141" s="16"/>
      <c r="J141" s="479">
        <f t="shared" si="90"/>
        <v>1.4753869581004744E-2</v>
      </c>
      <c r="K141" s="16"/>
      <c r="L141" s="16"/>
      <c r="M141" s="16"/>
      <c r="N141" s="16"/>
      <c r="O141" s="16">
        <f t="shared" si="91"/>
        <v>34869.303030303032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154410</v>
      </c>
      <c r="AB141" s="33"/>
      <c r="AC141" s="46">
        <f t="shared" si="94"/>
        <v>3.3547350408929623E-2</v>
      </c>
      <c r="AD141" s="33"/>
      <c r="AE141" s="33">
        <f t="shared" si="95"/>
        <v>1169.7727272727273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0.48776165890463696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4671317</v>
      </c>
      <c r="I142" s="16"/>
      <c r="J142" s="479">
        <f t="shared" si="90"/>
        <v>1.4897404767760476E-2</v>
      </c>
      <c r="K142" s="16"/>
      <c r="L142" s="16"/>
      <c r="M142" s="16"/>
      <c r="N142" s="16"/>
      <c r="O142" s="16">
        <f t="shared" si="91"/>
        <v>35122.684210526313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155875</v>
      </c>
      <c r="AB142" s="33"/>
      <c r="AC142" s="46">
        <f t="shared" si="94"/>
        <v>3.3368533970184425E-2</v>
      </c>
      <c r="AD142" s="33"/>
      <c r="AE142" s="33">
        <f t="shared" si="95"/>
        <v>1171.9924812030076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0.48914792123934214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4742400</v>
      </c>
      <c r="I143" s="16"/>
      <c r="J143" s="479">
        <f t="shared" si="90"/>
        <v>1.521690777996869E-2</v>
      </c>
      <c r="K143" s="16"/>
      <c r="L143" s="16"/>
      <c r="M143" s="16"/>
      <c r="N143" s="16"/>
      <c r="O143" s="16">
        <f t="shared" si="91"/>
        <v>35391.044776119401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157337</v>
      </c>
      <c r="AB143" s="33"/>
      <c r="AC143" s="46">
        <f t="shared" si="94"/>
        <v>3.3176661605937921E-2</v>
      </c>
      <c r="AD143" s="33"/>
      <c r="AE143" s="33">
        <f t="shared" si="95"/>
        <v>1174.1567164179105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0.49080043859649125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4800941</v>
      </c>
      <c r="I144" s="16"/>
      <c r="J144" s="479">
        <f t="shared" si="90"/>
        <v>1.2344171727395412E-2</v>
      </c>
      <c r="K144" s="16"/>
      <c r="L144" s="16"/>
      <c r="M144" s="16"/>
      <c r="N144" s="16"/>
      <c r="O144" s="16">
        <f t="shared" si="91"/>
        <v>35562.525925925926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158460</v>
      </c>
      <c r="AB144" s="33"/>
      <c r="AC144" s="46">
        <f t="shared" si="94"/>
        <v>3.3006029442977952E-2</v>
      </c>
      <c r="AD144" s="33"/>
      <c r="AE144" s="33">
        <f t="shared" si="95"/>
        <v>1173.7777777777778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0.49217497153162265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4849979</v>
      </c>
      <c r="I145" s="16"/>
      <c r="J145" s="479">
        <f t="shared" si="90"/>
        <v>1.0214247581880302E-2</v>
      </c>
      <c r="K145" s="16"/>
      <c r="L145" s="16"/>
      <c r="M145" s="16"/>
      <c r="N145" s="16">
        <f>SUM(D139:D145)</f>
        <v>440452</v>
      </c>
      <c r="O145" s="16">
        <f t="shared" si="91"/>
        <v>35661.61029411765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158927</v>
      </c>
      <c r="AB145" s="33"/>
      <c r="AC145" s="46">
        <f t="shared" si="94"/>
        <v>3.27685954928877E-2</v>
      </c>
      <c r="AD145" s="33"/>
      <c r="AE145" s="33">
        <f t="shared" si="95"/>
        <v>1168.5808823529412</v>
      </c>
      <c r="AF145" s="50"/>
      <c r="AG145" s="33">
        <f>SUM(W139:W145)</f>
        <v>7843</v>
      </c>
      <c r="AH145" s="33">
        <f>SUM(D116:D222)</f>
        <v>5451342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0.49076851672966004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4898625</v>
      </c>
      <c r="I146" s="16"/>
      <c r="J146" s="479">
        <f t="shared" si="90"/>
        <v>1.0030146522283911E-2</v>
      </c>
      <c r="K146" s="16"/>
      <c r="L146" s="16"/>
      <c r="M146" s="16"/>
      <c r="N146" s="16"/>
      <c r="O146" s="16">
        <f t="shared" si="91"/>
        <v>35756.386861313869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159489</v>
      </c>
      <c r="AB146" s="33"/>
      <c r="AC146" s="46">
        <f t="shared" si="94"/>
        <v>3.2557911658883873E-2</v>
      </c>
      <c r="AD146" s="33"/>
      <c r="AE146" s="33">
        <f t="shared" si="95"/>
        <v>1164.1532846715329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0.49948669269437851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4953189</v>
      </c>
      <c r="I147" s="16"/>
      <c r="J147" s="479">
        <f t="shared" si="90"/>
        <v>1.113863584169027E-2</v>
      </c>
      <c r="K147" s="16"/>
      <c r="L147" s="16"/>
      <c r="M147" s="16"/>
      <c r="N147" s="16"/>
      <c r="O147" s="16">
        <f t="shared" si="91"/>
        <v>35892.67391304348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160848</v>
      </c>
      <c r="AB147" s="33"/>
      <c r="AC147" s="46">
        <f t="shared" si="94"/>
        <v>3.2473624567929876E-2</v>
      </c>
      <c r="AD147" s="33"/>
      <c r="AE147" s="33">
        <f t="shared" si="95"/>
        <v>1165.5652173913043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0.50102671228576179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5008337</v>
      </c>
      <c r="I148" s="16"/>
      <c r="J148" s="479">
        <f t="shared" si="90"/>
        <v>1.1133837210734337E-2</v>
      </c>
      <c r="K148" s="16"/>
      <c r="L148" s="16"/>
      <c r="M148" s="16"/>
      <c r="N148" s="16"/>
      <c r="O148" s="16">
        <f t="shared" si="91"/>
        <v>36031.201438848919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162167</v>
      </c>
      <c r="AB148" s="33"/>
      <c r="AC148" s="46">
        <f t="shared" si="94"/>
        <v>3.2379410570814227E-2</v>
      </c>
      <c r="AD148" s="33"/>
      <c r="AE148" s="33">
        <f t="shared" si="95"/>
        <v>1166.6690647482014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0.5071817251914158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5067047</v>
      </c>
      <c r="I149" s="16"/>
      <c r="J149" s="479">
        <f t="shared" si="90"/>
        <v>1.1722453980233359E-2</v>
      </c>
      <c r="K149" s="16"/>
      <c r="L149" s="16"/>
      <c r="M149" s="16"/>
      <c r="N149" s="16"/>
      <c r="O149" s="16">
        <f t="shared" si="91"/>
        <v>36193.192857142858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163370</v>
      </c>
      <c r="AB149" s="33"/>
      <c r="AC149" s="46">
        <f t="shared" si="94"/>
        <v>3.2241658701804031E-2</v>
      </c>
      <c r="AD149" s="33"/>
      <c r="AE149" s="33">
        <f t="shared" si="95"/>
        <v>1166.9285714285713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0.50639593435782226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5130293</v>
      </c>
      <c r="I150" s="16"/>
      <c r="J150" s="479">
        <f t="shared" si="90"/>
        <v>1.2481826199756978E-2</v>
      </c>
      <c r="K150" s="16"/>
      <c r="L150" s="16"/>
      <c r="M150" s="16"/>
      <c r="N150" s="16"/>
      <c r="O150" s="16">
        <f t="shared" si="91"/>
        <v>36385.056737588653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164660</v>
      </c>
      <c r="AB150" s="33"/>
      <c r="AC150" s="46">
        <f t="shared" si="94"/>
        <v>3.2095632744562543E-2</v>
      </c>
      <c r="AD150" s="33"/>
      <c r="AE150" s="33">
        <f t="shared" si="95"/>
        <v>1167.8014184397164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0.51010088507615448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5184492</v>
      </c>
      <c r="I151" s="16"/>
      <c r="J151" s="479">
        <f t="shared" si="90"/>
        <v>1.0564503820736945E-2</v>
      </c>
      <c r="K151" s="16"/>
      <c r="L151" s="16"/>
      <c r="M151" s="16"/>
      <c r="N151" s="16"/>
      <c r="O151" s="16">
        <f t="shared" ref="O151:O160" si="110">+H151/BW151</f>
        <v>36510.507042253521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165636</v>
      </c>
      <c r="AB151" s="33"/>
      <c r="AC151" s="46">
        <f t="shared" si="94"/>
        <v>3.1948356753178517E-2</v>
      </c>
      <c r="AD151" s="33"/>
      <c r="AE151" s="33">
        <f t="shared" si="95"/>
        <v>1166.4507042253522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0.5089158204892591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5232341</v>
      </c>
      <c r="I152" s="16"/>
      <c r="J152" s="479">
        <f t="shared" si="90"/>
        <v>9.2292552481516021E-3</v>
      </c>
      <c r="K152" s="16"/>
      <c r="L152" s="16"/>
      <c r="M152" s="16"/>
      <c r="N152" s="16">
        <f>SUM(D146:D152)</f>
        <v>382362</v>
      </c>
      <c r="O152" s="16">
        <f t="shared" si="110"/>
        <v>36589.797202797206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166170</v>
      </c>
      <c r="AB152" s="33"/>
      <c r="AC152" s="46">
        <f t="shared" si="94"/>
        <v>3.1758251230185497E-2</v>
      </c>
      <c r="AD152" s="33"/>
      <c r="AE152" s="33">
        <f t="shared" si="95"/>
        <v>1162.0279720279721</v>
      </c>
      <c r="AF152" s="50"/>
      <c r="AG152" s="33">
        <f t="shared" ref="AG152:AG164" si="111">SUM(W146:W152)</f>
        <v>7243</v>
      </c>
      <c r="AH152" s="33">
        <f>SUM(D123:D229)</f>
        <v>5088472.0049000001</v>
      </c>
      <c r="AI152" s="231">
        <f t="shared" ref="AI152:AI164" si="112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0.50927510267392739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5282141</v>
      </c>
      <c r="I153" s="16"/>
      <c r="J153" s="479">
        <f t="shared" si="90"/>
        <v>9.5177282979071898E-3</v>
      </c>
      <c r="K153" s="16"/>
      <c r="L153" s="16"/>
      <c r="M153" s="16"/>
      <c r="N153" s="16"/>
      <c r="O153" s="16">
        <f t="shared" si="110"/>
        <v>36681.534722222219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166739</v>
      </c>
      <c r="AB153" s="33"/>
      <c r="AC153" s="46">
        <f t="shared" si="94"/>
        <v>3.1566556061263795E-2</v>
      </c>
      <c r="AD153" s="33"/>
      <c r="AE153" s="33">
        <f t="shared" si="95"/>
        <v>1157.9097222222222</v>
      </c>
      <c r="AF153" s="50"/>
      <c r="AG153" s="33">
        <f t="shared" si="111"/>
        <v>7250</v>
      </c>
      <c r="AH153" s="33">
        <f>SUM(D124:D230)</f>
        <v>5026753.0049000001</v>
      </c>
      <c r="AI153" s="231" t="e">
        <f t="shared" si="112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0.51417294615952125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5336660</v>
      </c>
      <c r="I154" s="16"/>
      <c r="J154" s="479">
        <f t="shared" si="90"/>
        <v>1.0321382939228619E-2</v>
      </c>
      <c r="K154" s="16"/>
      <c r="L154" s="16"/>
      <c r="M154" s="16"/>
      <c r="N154" s="16"/>
      <c r="O154" s="16">
        <f t="shared" si="110"/>
        <v>36804.551724137928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168243</v>
      </c>
      <c r="AB154" s="33"/>
      <c r="AC154" s="46">
        <f t="shared" si="94"/>
        <v>3.1525898220984658E-2</v>
      </c>
      <c r="AD154" s="33"/>
      <c r="AE154" s="33">
        <f t="shared" si="95"/>
        <v>1160.296551724138</v>
      </c>
      <c r="AF154" s="50"/>
      <c r="AG154" s="33">
        <f t="shared" si="111"/>
        <v>7395</v>
      </c>
      <c r="AH154" s="33">
        <f>SUM(D125:D231)</f>
        <v>4968404.0049000001</v>
      </c>
      <c r="AI154" s="231" t="e">
        <f t="shared" si="112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0.51630570431693235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5391005</v>
      </c>
      <c r="I155" s="16"/>
      <c r="J155" s="479">
        <f t="shared" si="90"/>
        <v>1.0183335644391811E-2</v>
      </c>
      <c r="K155" s="16"/>
      <c r="L155" s="16"/>
      <c r="M155" s="16"/>
      <c r="N155" s="16"/>
      <c r="O155" s="16">
        <f t="shared" si="110"/>
        <v>36924.691780821915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169629</v>
      </c>
      <c r="AB155" s="33"/>
      <c r="AC155" s="46">
        <f t="shared" si="94"/>
        <v>3.1465190627721545E-2</v>
      </c>
      <c r="AD155" s="33"/>
      <c r="AE155" s="33">
        <f t="shared" si="95"/>
        <v>1161.8424657534247</v>
      </c>
      <c r="AF155" s="50"/>
      <c r="AG155" s="33">
        <f t="shared" si="111"/>
        <v>7462</v>
      </c>
      <c r="AH155" s="33">
        <f>SUM(D126:D232)</f>
        <v>4902916.0049000001</v>
      </c>
      <c r="AI155" s="231" t="e">
        <f t="shared" si="112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0.52172146009881271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5446369</v>
      </c>
      <c r="I156" s="16"/>
      <c r="J156" s="479">
        <f t="shared" si="90"/>
        <v>1.0269699249026851E-2</v>
      </c>
      <c r="K156" s="16"/>
      <c r="L156" s="16"/>
      <c r="M156" s="16"/>
      <c r="N156" s="16"/>
      <c r="O156" s="16">
        <f t="shared" si="110"/>
        <v>37050.12925170068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170913</v>
      </c>
      <c r="AB156" s="33"/>
      <c r="AC156" s="46">
        <f t="shared" si="94"/>
        <v>3.1381090778094541E-2</v>
      </c>
      <c r="AD156" s="33"/>
      <c r="AE156" s="33">
        <f t="shared" si="95"/>
        <v>1162.6734693877552</v>
      </c>
      <c r="AF156" s="50"/>
      <c r="AG156" s="33">
        <f t="shared" si="111"/>
        <v>7543</v>
      </c>
      <c r="AH156" s="33">
        <f>SUM(D127:D233)</f>
        <v>4836868.0049000001</v>
      </c>
      <c r="AI156" s="231" t="e">
        <f t="shared" si="112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0.52203660824303311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5506969</v>
      </c>
      <c r="I157" s="16"/>
      <c r="J157" s="479">
        <f t="shared" si="90"/>
        <v>1.1126679077381647E-2</v>
      </c>
      <c r="K157" s="16"/>
      <c r="L157" s="16"/>
      <c r="M157" s="16"/>
      <c r="N157" s="16"/>
      <c r="O157" s="16">
        <f t="shared" si="110"/>
        <v>37209.25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172033</v>
      </c>
      <c r="AB157" s="33"/>
      <c r="AC157" s="46">
        <f t="shared" si="94"/>
        <v>3.1239144436803621E-2</v>
      </c>
      <c r="AD157" s="33"/>
      <c r="AE157" s="33">
        <f t="shared" si="95"/>
        <v>1162.3851351351352</v>
      </c>
      <c r="AF157" s="50"/>
      <c r="AG157" s="33">
        <f t="shared" si="111"/>
        <v>7373</v>
      </c>
      <c r="AH157" s="33">
        <f>SUM(D128:D234)</f>
        <v>4764873.0049000001</v>
      </c>
      <c r="AI157" s="231" t="e">
        <f t="shared" si="112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0.52209246138846976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5560492</v>
      </c>
      <c r="I158" s="16"/>
      <c r="J158" s="479">
        <f t="shared" si="90"/>
        <v>9.7191395121345343E-3</v>
      </c>
      <c r="K158" s="16"/>
      <c r="L158" s="16"/>
      <c r="M158" s="16"/>
      <c r="N158" s="16"/>
      <c r="O158" s="16">
        <f t="shared" si="110"/>
        <v>37318.738255033561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173104</v>
      </c>
      <c r="AB158" s="33"/>
      <c r="AC158" s="46">
        <f t="shared" si="94"/>
        <v>3.1131058186937417E-2</v>
      </c>
      <c r="AD158" s="33"/>
      <c r="AE158" s="33">
        <f t="shared" si="95"/>
        <v>1161.7718120805368</v>
      </c>
      <c r="AF158" s="50"/>
      <c r="AG158" s="33">
        <f t="shared" si="111"/>
        <v>7468</v>
      </c>
      <c r="AH158" s="33">
        <f>SUM(D129:D235)</f>
        <v>81691485.004899994</v>
      </c>
      <c r="AI158" s="231" t="e">
        <f t="shared" si="112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0.52232590209643315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5597335</v>
      </c>
      <c r="I159" s="16"/>
      <c r="J159" s="479">
        <f t="shared" si="90"/>
        <v>6.6258525324737454E-3</v>
      </c>
      <c r="K159" s="16"/>
      <c r="L159" s="16"/>
      <c r="M159" s="16"/>
      <c r="N159" s="16">
        <f t="shared" ref="N159:N164" si="113">SUM(D153:D159)</f>
        <v>364994</v>
      </c>
      <c r="O159" s="16">
        <f t="shared" si="110"/>
        <v>37315.566666666666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173626</v>
      </c>
      <c r="AB159" s="33"/>
      <c r="AC159" s="46">
        <f t="shared" si="94"/>
        <v>3.1019404770305868E-2</v>
      </c>
      <c r="AD159" s="33"/>
      <c r="AE159" s="33">
        <f t="shared" si="95"/>
        <v>1157.5066666666667</v>
      </c>
      <c r="AF159" s="50"/>
      <c r="AG159" s="33">
        <f t="shared" si="111"/>
        <v>7456</v>
      </c>
      <c r="AH159" s="33">
        <f>SUM(D130:D236)</f>
        <v>81616498.237528399</v>
      </c>
      <c r="AI159" s="231">
        <f t="shared" si="112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0.52216349387699679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5637947</v>
      </c>
      <c r="I160" s="16"/>
      <c r="J160" s="479">
        <f t="shared" si="90"/>
        <v>7.2555957433314243E-3</v>
      </c>
      <c r="K160" s="16"/>
      <c r="L160" s="16"/>
      <c r="M160" s="16"/>
      <c r="N160" s="16">
        <f t="shared" si="113"/>
        <v>355806</v>
      </c>
      <c r="O160" s="16">
        <f t="shared" si="110"/>
        <v>37337.397350993378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174215</v>
      </c>
      <c r="AB160" s="33"/>
      <c r="AC160" s="46">
        <f t="shared" si="94"/>
        <v>3.090043237369915E-2</v>
      </c>
      <c r="AD160" s="33"/>
      <c r="AE160" s="33">
        <f t="shared" si="95"/>
        <v>1153.7417218543046</v>
      </c>
      <c r="AF160" s="50"/>
      <c r="AG160" s="33">
        <f t="shared" si="111"/>
        <v>7476</v>
      </c>
      <c r="AH160" s="33">
        <f>SUM(D131:D237)</f>
        <v>81553239.237528399</v>
      </c>
      <c r="AI160" s="231">
        <f t="shared" si="112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0.52742372356462375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5681946</v>
      </c>
      <c r="I161" s="16"/>
      <c r="J161" s="479">
        <f t="shared" si="90"/>
        <v>7.8040818759027002E-3</v>
      </c>
      <c r="K161" s="16"/>
      <c r="L161" s="16"/>
      <c r="M161" s="16"/>
      <c r="N161" s="16">
        <f t="shared" si="113"/>
        <v>345286</v>
      </c>
      <c r="O161" s="16">
        <f t="shared" ref="O161:O169" si="114">+H161/BW161</f>
        <v>37381.223684210527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175573</v>
      </c>
      <c r="AB161" s="33"/>
      <c r="AC161" s="46">
        <f t="shared" si="94"/>
        <v>3.0900152870161034E-2</v>
      </c>
      <c r="AD161" s="33"/>
      <c r="AE161" s="33">
        <f t="shared" si="95"/>
        <v>1155.0855263157894</v>
      </c>
      <c r="AF161" s="50"/>
      <c r="AG161" s="33">
        <f t="shared" si="111"/>
        <v>7330</v>
      </c>
      <c r="AH161" s="33">
        <f>SUM(D132:D238)</f>
        <v>412487960.23752838</v>
      </c>
      <c r="AI161" s="231">
        <f t="shared" si="112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0.52994132643992042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5726919</v>
      </c>
      <c r="I162" s="16"/>
      <c r="J162" s="479">
        <f t="shared" si="90"/>
        <v>7.9150699425865716E-3</v>
      </c>
      <c r="K162" s="16"/>
      <c r="L162" s="16"/>
      <c r="M162" s="16"/>
      <c r="N162" s="16">
        <f t="shared" si="113"/>
        <v>335914</v>
      </c>
      <c r="O162" s="16">
        <f t="shared" si="114"/>
        <v>37430.843137254902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176857</v>
      </c>
      <c r="AB162" s="33"/>
      <c r="AC162" s="46">
        <f t="shared" si="94"/>
        <v>3.0881700963467443E-2</v>
      </c>
      <c r="AD162" s="33"/>
      <c r="AE162" s="33">
        <f t="shared" si="95"/>
        <v>1155.9281045751634</v>
      </c>
      <c r="AF162" s="50"/>
      <c r="AG162" s="33">
        <f t="shared" si="111"/>
        <v>7228</v>
      </c>
      <c r="AH162" s="33">
        <f>SUM(D133:D239)</f>
        <v>412425081.23752838</v>
      </c>
      <c r="AI162" s="231">
        <f t="shared" si="112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0.53472573996593975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5772276</v>
      </c>
      <c r="I163" s="16"/>
      <c r="J163" s="479">
        <f t="shared" si="90"/>
        <v>7.9199653426213993E-3</v>
      </c>
      <c r="K163" s="16"/>
      <c r="L163" s="16"/>
      <c r="M163" s="16"/>
      <c r="N163" s="16">
        <f t="shared" si="113"/>
        <v>325907</v>
      </c>
      <c r="O163" s="16">
        <f t="shared" si="114"/>
        <v>37482.311688311689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177954</v>
      </c>
      <c r="AB163" s="33"/>
      <c r="AC163" s="46">
        <f t="shared" si="94"/>
        <v>3.0829087174625746E-2</v>
      </c>
      <c r="AD163" s="33"/>
      <c r="AE163" s="33">
        <f t="shared" si="95"/>
        <v>1155.5454545454545</v>
      </c>
      <c r="AF163" s="50"/>
      <c r="AG163" s="33">
        <f t="shared" si="111"/>
        <v>7041</v>
      </c>
      <c r="AH163" s="33">
        <f>SUM(D134:D240)</f>
        <v>412357602.30952841</v>
      </c>
      <c r="AI163" s="231">
        <f t="shared" si="112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0.53626749656461337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5822757</v>
      </c>
      <c r="I164" s="16"/>
      <c r="J164" s="479">
        <f t="shared" si="90"/>
        <v>8.7454238154932307E-3</v>
      </c>
      <c r="K164" s="16"/>
      <c r="L164" s="16"/>
      <c r="M164" s="16"/>
      <c r="N164" s="16">
        <f t="shared" si="113"/>
        <v>315788</v>
      </c>
      <c r="O164" s="16">
        <f t="shared" si="114"/>
        <v>37566.174193548388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179124</v>
      </c>
      <c r="AB164" s="33"/>
      <c r="AC164" s="46">
        <f t="shared" si="94"/>
        <v>3.0762746925554339E-2</v>
      </c>
      <c r="AD164" s="33"/>
      <c r="AE164" s="33">
        <f t="shared" si="95"/>
        <v>1155.6387096774195</v>
      </c>
      <c r="AF164" s="50"/>
      <c r="AG164" s="33">
        <f t="shared" si="111"/>
        <v>7091</v>
      </c>
      <c r="AH164" s="33">
        <f>SUM(D135:D241)</f>
        <v>412285635.30952841</v>
      </c>
      <c r="AI164" s="231">
        <f t="shared" si="112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0.53710261307487162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5">+H164+D165</f>
        <v>5866586</v>
      </c>
      <c r="I165" s="16"/>
      <c r="J165" s="479">
        <f t="shared" ref="J165:J182" si="116">+D165/H164</f>
        <v>7.52719029834149E-3</v>
      </c>
      <c r="K165" s="16"/>
      <c r="L165" s="16"/>
      <c r="M165" s="16"/>
      <c r="N165" s="16">
        <f t="shared" ref="N165:N182" si="117">SUM(D159:D165)</f>
        <v>306094</v>
      </c>
      <c r="O165" s="16">
        <f t="shared" si="114"/>
        <v>37606.320512820515</v>
      </c>
      <c r="P165" s="41"/>
      <c r="Q165" s="17">
        <f t="shared" ref="Q165:Q182" si="118">SUM(D159:D165)</f>
        <v>306094</v>
      </c>
      <c r="R165" s="16"/>
      <c r="S165" s="60">
        <f t="shared" ref="S165:S182" si="119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0">+AA164+W165</f>
        <v>180098</v>
      </c>
      <c r="AB165" s="33"/>
      <c r="AC165" s="46">
        <f t="shared" ref="AC165:AC182" si="121">+AA165/H165</f>
        <v>3.0698944837764246E-2</v>
      </c>
      <c r="AD165" s="33"/>
      <c r="AE165" s="33">
        <f t="shared" ref="AE165:AE182" si="122">+AA165/BW165</f>
        <v>1154.4743589743589</v>
      </c>
      <c r="AF165" s="50"/>
      <c r="AG165" s="33">
        <f t="shared" ref="AG165:AG182" si="123">SUM(W159:W165)</f>
        <v>6994</v>
      </c>
      <c r="AH165" s="33">
        <f>SUM(D136:D242)</f>
        <v>412216192.35152841</v>
      </c>
      <c r="AI165" s="231">
        <f t="shared" ref="AI165:AI182" si="124">+(AG165-AG158)/AG158</f>
        <v>-6.3470808784145683E-2</v>
      </c>
      <c r="AJ165" s="50"/>
      <c r="AK165" s="10"/>
      <c r="AL165" s="23">
        <f t="shared" ref="AL165:AL182" si="125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6">+AL165/AP164</f>
        <v>6.606727978159619E-3</v>
      </c>
      <c r="AS165" s="25"/>
      <c r="AT165" s="25"/>
      <c r="AU165" s="24"/>
      <c r="AV165" s="341">
        <f t="shared" ref="AV165:AV182" si="127">+AP165/H165</f>
        <v>0.53661192386849865</v>
      </c>
      <c r="AW165" s="341"/>
      <c r="AX165" s="24">
        <f t="shared" ref="AX165:AX182" si="128">+AP165/BW165</f>
        <v>20180</v>
      </c>
      <c r="AY165" s="351"/>
      <c r="AZ165" s="10"/>
      <c r="BA165" s="66">
        <f t="shared" ref="BA165:BA182" si="129">+BC165-BC164</f>
        <v>756595</v>
      </c>
      <c r="BB165" s="67"/>
      <c r="BC165" s="67">
        <v>75475175</v>
      </c>
      <c r="BD165" s="67"/>
      <c r="BE165" s="67">
        <f t="shared" ref="BE165:BE182" si="130">+D165</f>
        <v>43829</v>
      </c>
      <c r="BF165" s="67"/>
      <c r="BG165" s="156">
        <f t="shared" ref="BG165:BG182" si="131">+BE165/BA165</f>
        <v>5.7929275239725346E-2</v>
      </c>
      <c r="BH165" s="67"/>
      <c r="BI165" s="183"/>
      <c r="BJ165" s="67"/>
      <c r="BK165" s="67">
        <f t="shared" ref="BK165:BK182" si="132">SUM(BA159:BA165)</f>
        <v>5250502</v>
      </c>
      <c r="BL165" s="67"/>
      <c r="BM165" s="156">
        <f t="shared" ref="BM165:BM182" si="133">+Q165/BK165</f>
        <v>5.8298044644112125E-2</v>
      </c>
      <c r="BN165" s="66">
        <f t="shared" ref="BN165:BN182" si="134">+BC165/BW165</f>
        <v>483815.22435897437</v>
      </c>
      <c r="BO165" s="67"/>
      <c r="BP165" s="67">
        <f t="shared" ref="BP165:BP182" si="135">+BP164+BE165</f>
        <v>5549278</v>
      </c>
      <c r="BQ165" s="67"/>
      <c r="BR165" s="478">
        <f t="shared" ref="BR165:BR182" si="136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5"/>
        <v>5899304</v>
      </c>
      <c r="I166" s="16"/>
      <c r="J166" s="479">
        <f t="shared" si="116"/>
        <v>5.5770085020487217E-3</v>
      </c>
      <c r="K166" s="16"/>
      <c r="L166" s="16"/>
      <c r="M166" s="16"/>
      <c r="N166" s="16">
        <f t="shared" si="117"/>
        <v>301969</v>
      </c>
      <c r="O166" s="16">
        <f t="shared" si="114"/>
        <v>37575.184713375798</v>
      </c>
      <c r="P166" s="41"/>
      <c r="Q166" s="17">
        <f t="shared" si="118"/>
        <v>301969</v>
      </c>
      <c r="R166" s="16"/>
      <c r="S166" s="60">
        <f t="shared" si="119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0"/>
        <v>180528</v>
      </c>
      <c r="AB166" s="33"/>
      <c r="AC166" s="46">
        <f t="shared" si="121"/>
        <v>3.0601576050327293E-2</v>
      </c>
      <c r="AD166" s="33"/>
      <c r="AE166" s="33">
        <f t="shared" si="122"/>
        <v>1149.8598726114649</v>
      </c>
      <c r="AF166" s="50"/>
      <c r="AG166" s="33">
        <f t="shared" si="123"/>
        <v>6902</v>
      </c>
      <c r="AH166" s="33">
        <f>SUM(D137:D243)</f>
        <v>413139158.35152841</v>
      </c>
      <c r="AI166" s="231">
        <f t="shared" si="124"/>
        <v>-7.430257510729614E-2</v>
      </c>
      <c r="AJ166" s="50"/>
      <c r="AK166" s="10"/>
      <c r="AL166" s="23">
        <f t="shared" si="125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6"/>
        <v>6.0300246499453633E-3</v>
      </c>
      <c r="AS166" s="25"/>
      <c r="AT166" s="25"/>
      <c r="AU166" s="24"/>
      <c r="AV166" s="341">
        <f t="shared" si="127"/>
        <v>0.53685366951762448</v>
      </c>
      <c r="AW166" s="341"/>
      <c r="AX166" s="24">
        <f t="shared" si="128"/>
        <v>20172.375796178345</v>
      </c>
      <c r="AY166" s="351"/>
      <c r="AZ166" s="391"/>
      <c r="BA166" s="66">
        <f t="shared" si="129"/>
        <v>684203</v>
      </c>
      <c r="BB166" s="67"/>
      <c r="BC166" s="67">
        <v>76159378</v>
      </c>
      <c r="BD166" s="67"/>
      <c r="BE166" s="67">
        <f t="shared" si="130"/>
        <v>32718</v>
      </c>
      <c r="BF166" s="67"/>
      <c r="BG166" s="156">
        <f t="shared" si="131"/>
        <v>4.7819141395170732E-2</v>
      </c>
      <c r="BH166" s="67"/>
      <c r="BI166" s="183"/>
      <c r="BJ166" s="67"/>
      <c r="BK166" s="67">
        <f t="shared" si="132"/>
        <v>5198748</v>
      </c>
      <c r="BL166" s="67"/>
      <c r="BM166" s="156">
        <f t="shared" si="133"/>
        <v>5.8084946606375226E-2</v>
      </c>
      <c r="BN166" s="66">
        <f t="shared" si="134"/>
        <v>485091.57961783442</v>
      </c>
      <c r="BO166" s="67"/>
      <c r="BP166" s="67">
        <f t="shared" si="135"/>
        <v>5581996</v>
      </c>
      <c r="BQ166" s="67"/>
      <c r="BR166" s="478">
        <f t="shared" si="136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5"/>
        <v>5940788</v>
      </c>
      <c r="I167" s="16"/>
      <c r="J167" s="479">
        <f t="shared" si="116"/>
        <v>7.0320159801902059E-3</v>
      </c>
      <c r="K167" s="16"/>
      <c r="L167" s="16"/>
      <c r="M167" s="16"/>
      <c r="N167" s="16">
        <f t="shared" si="117"/>
        <v>302841</v>
      </c>
      <c r="O167" s="16">
        <f t="shared" si="114"/>
        <v>37599.924050632908</v>
      </c>
      <c r="P167" s="41"/>
      <c r="Q167" s="17">
        <f t="shared" si="118"/>
        <v>302841</v>
      </c>
      <c r="R167" s="16"/>
      <c r="S167" s="60">
        <f t="shared" si="119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0"/>
        <v>181038</v>
      </c>
      <c r="AB167" s="33"/>
      <c r="AC167" s="46">
        <f t="shared" si="121"/>
        <v>3.0473735134126989E-2</v>
      </c>
      <c r="AD167" s="33"/>
      <c r="AE167" s="33">
        <f t="shared" si="122"/>
        <v>1145.8101265822784</v>
      </c>
      <c r="AF167" s="50"/>
      <c r="AG167" s="33">
        <f t="shared" si="123"/>
        <v>6823</v>
      </c>
      <c r="AH167" s="33">
        <f>SUM(D138:D244)</f>
        <v>413071745.35152841</v>
      </c>
      <c r="AI167" s="231">
        <f t="shared" si="124"/>
        <v>-8.7346174424826103E-2</v>
      </c>
      <c r="AJ167" s="50"/>
      <c r="AK167" s="10"/>
      <c r="AL167" s="23">
        <f t="shared" si="125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6"/>
        <v>1.607735621299608E-2</v>
      </c>
      <c r="AS167" s="25"/>
      <c r="AT167" s="25"/>
      <c r="AU167" s="24"/>
      <c r="AV167" s="341">
        <f t="shared" si="127"/>
        <v>0.54167578442455777</v>
      </c>
      <c r="AW167" s="341"/>
      <c r="AX167" s="24">
        <f t="shared" si="128"/>
        <v>20366.968354430381</v>
      </c>
      <c r="AY167" s="351"/>
      <c r="AZ167" s="10"/>
      <c r="BA167" s="66">
        <f t="shared" si="129"/>
        <v>724101</v>
      </c>
      <c r="BB167" s="67"/>
      <c r="BC167" s="67">
        <v>76883479</v>
      </c>
      <c r="BD167" s="67"/>
      <c r="BE167" s="67">
        <f t="shared" si="130"/>
        <v>41484</v>
      </c>
      <c r="BF167" s="67"/>
      <c r="BG167" s="156">
        <f t="shared" si="131"/>
        <v>5.7290350379297916E-2</v>
      </c>
      <c r="BH167" s="67"/>
      <c r="BI167" s="183"/>
      <c r="BJ167" s="67"/>
      <c r="BK167" s="67">
        <f t="shared" si="132"/>
        <v>5195698</v>
      </c>
      <c r="BL167" s="67"/>
      <c r="BM167" s="156">
        <f t="shared" si="133"/>
        <v>5.8286875026223615E-2</v>
      </c>
      <c r="BN167" s="66">
        <f t="shared" si="134"/>
        <v>486604.2974683544</v>
      </c>
      <c r="BO167" s="67"/>
      <c r="BP167" s="67">
        <f t="shared" si="135"/>
        <v>5623480</v>
      </c>
      <c r="BQ167" s="67"/>
      <c r="BR167" s="478">
        <f t="shared" si="136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5"/>
        <v>5980886</v>
      </c>
      <c r="I168" s="16"/>
      <c r="J168" s="479">
        <f t="shared" si="116"/>
        <v>6.7496096477437E-3</v>
      </c>
      <c r="K168" s="16"/>
      <c r="L168" s="16"/>
      <c r="M168" s="16"/>
      <c r="N168" s="16">
        <f t="shared" si="117"/>
        <v>298940</v>
      </c>
      <c r="O168" s="16">
        <f t="shared" si="114"/>
        <v>37615.635220125783</v>
      </c>
      <c r="P168" s="41"/>
      <c r="Q168" s="17">
        <f t="shared" si="118"/>
        <v>298940</v>
      </c>
      <c r="R168" s="16"/>
      <c r="S168" s="60">
        <f t="shared" si="119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0"/>
        <v>182328</v>
      </c>
      <c r="AB168" s="33"/>
      <c r="AC168" s="46">
        <f t="shared" si="121"/>
        <v>3.0485115416010271E-2</v>
      </c>
      <c r="AD168" s="33"/>
      <c r="AE168" s="33">
        <f t="shared" si="122"/>
        <v>1146.7169811320755</v>
      </c>
      <c r="AF168" s="50"/>
      <c r="AG168" s="33">
        <f t="shared" si="123"/>
        <v>6755</v>
      </c>
      <c r="AH168" s="33">
        <f>SUM(D139:D245)</f>
        <v>413015615.35152841</v>
      </c>
      <c r="AI168" s="231">
        <f t="shared" si="124"/>
        <v>-7.8444747612551158E-2</v>
      </c>
      <c r="AJ168" s="50"/>
      <c r="AK168" s="10"/>
      <c r="AL168" s="23">
        <f t="shared" si="125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6"/>
        <v>1.1280675678321283E-2</v>
      </c>
      <c r="AS168" s="25"/>
      <c r="AT168" s="25"/>
      <c r="AU168" s="24"/>
      <c r="AV168" s="341">
        <f t="shared" si="127"/>
        <v>0.54411369820458044</v>
      </c>
      <c r="AW168" s="341"/>
      <c r="AX168" s="24">
        <f t="shared" si="128"/>
        <v>20467.182389937108</v>
      </c>
      <c r="AY168" s="351"/>
      <c r="AZ168" s="10"/>
      <c r="BA168" s="66">
        <f t="shared" si="129"/>
        <v>1047928</v>
      </c>
      <c r="BB168" s="67"/>
      <c r="BC168" s="67">
        <v>77931407</v>
      </c>
      <c r="BD168" s="67"/>
      <c r="BE168" s="67">
        <f t="shared" si="130"/>
        <v>40098</v>
      </c>
      <c r="BF168" s="67"/>
      <c r="BG168" s="156">
        <f t="shared" si="131"/>
        <v>3.8264079211548882E-2</v>
      </c>
      <c r="BH168" s="67"/>
      <c r="BI168" s="183"/>
      <c r="BJ168" s="67"/>
      <c r="BK168" s="67">
        <f t="shared" si="132"/>
        <v>5563756</v>
      </c>
      <c r="BL168" s="67"/>
      <c r="BM168" s="156">
        <f t="shared" si="133"/>
        <v>5.3729890383402867E-2</v>
      </c>
      <c r="BN168" s="66">
        <f t="shared" si="134"/>
        <v>490134.63522012578</v>
      </c>
      <c r="BO168" s="67"/>
      <c r="BP168" s="67">
        <f t="shared" si="135"/>
        <v>5663578</v>
      </c>
      <c r="BQ168" s="67"/>
      <c r="BR168" s="478">
        <f t="shared" si="136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5"/>
        <v>6025523</v>
      </c>
      <c r="I169" s="16"/>
      <c r="J169" s="479">
        <f t="shared" si="116"/>
        <v>7.463275508010017E-3</v>
      </c>
      <c r="K169" s="16"/>
      <c r="L169" s="16"/>
      <c r="M169" s="16"/>
      <c r="N169" s="16">
        <f t="shared" si="117"/>
        <v>298604</v>
      </c>
      <c r="O169" s="16">
        <f t="shared" si="114"/>
        <v>37659.518750000003</v>
      </c>
      <c r="P169" s="41"/>
      <c r="Q169" s="17">
        <f t="shared" si="118"/>
        <v>298604</v>
      </c>
      <c r="R169" s="16"/>
      <c r="S169" s="60">
        <f t="shared" si="119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0"/>
        <v>183608</v>
      </c>
      <c r="AB169" s="33"/>
      <c r="AC169" s="46">
        <f t="shared" si="121"/>
        <v>3.047171175016675E-2</v>
      </c>
      <c r="AD169" s="33"/>
      <c r="AE169" s="33">
        <f t="shared" si="122"/>
        <v>1147.55</v>
      </c>
      <c r="AF169" s="50"/>
      <c r="AG169" s="33">
        <f t="shared" si="123"/>
        <v>6751</v>
      </c>
      <c r="AH169" s="33">
        <f>SUM(D140:D246)</f>
        <v>412954044.35152841</v>
      </c>
      <c r="AI169" s="231">
        <f t="shared" si="124"/>
        <v>-6.5993359158826786E-2</v>
      </c>
      <c r="AJ169" s="50"/>
      <c r="AK169" s="10"/>
      <c r="AL169" s="23">
        <f t="shared" si="125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6"/>
        <v>1.8307878665708748E-2</v>
      </c>
      <c r="AS169" s="25"/>
      <c r="AT169" s="25"/>
      <c r="AU169" s="24"/>
      <c r="AV169" s="341">
        <f t="shared" si="127"/>
        <v>0.54997068304278318</v>
      </c>
      <c r="AW169" s="341"/>
      <c r="AX169" s="24">
        <f t="shared" si="128"/>
        <v>20711.631249999999</v>
      </c>
      <c r="AY169" s="351"/>
      <c r="AZ169" s="10"/>
      <c r="BA169" s="66">
        <f t="shared" si="129"/>
        <v>701159</v>
      </c>
      <c r="BB169" s="67"/>
      <c r="BC169" s="67">
        <v>78632566</v>
      </c>
      <c r="BD169" s="67"/>
      <c r="BE169" s="67">
        <f t="shared" si="130"/>
        <v>44637</v>
      </c>
      <c r="BF169" s="67"/>
      <c r="BG169" s="156">
        <f t="shared" si="131"/>
        <v>6.3661737209391875E-2</v>
      </c>
      <c r="BH169" s="67"/>
      <c r="BI169" s="183"/>
      <c r="BJ169" s="67"/>
      <c r="BK169" s="67">
        <f t="shared" si="132"/>
        <v>5516857</v>
      </c>
      <c r="BL169" s="67"/>
      <c r="BM169" s="156">
        <f t="shared" si="133"/>
        <v>5.4125745873057796E-2</v>
      </c>
      <c r="BN169" s="66">
        <f t="shared" si="134"/>
        <v>491453.53749999998</v>
      </c>
      <c r="BO169" s="67"/>
      <c r="BP169" s="67">
        <f t="shared" si="135"/>
        <v>5708215</v>
      </c>
      <c r="BQ169" s="67"/>
      <c r="BR169" s="478">
        <f t="shared" si="136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5"/>
        <v>6071529</v>
      </c>
      <c r="I170" s="16"/>
      <c r="J170" s="479">
        <f t="shared" si="116"/>
        <v>7.6351878500837186E-3</v>
      </c>
      <c r="K170" s="16"/>
      <c r="L170" s="16"/>
      <c r="M170" s="16"/>
      <c r="N170" s="16">
        <f t="shared" si="117"/>
        <v>299253</v>
      </c>
      <c r="O170" s="16">
        <f t="shared" ref="O170:O182" si="137">+H170/BW170</f>
        <v>37711.360248447207</v>
      </c>
      <c r="P170" s="41"/>
      <c r="Q170" s="17">
        <f t="shared" si="118"/>
        <v>299253</v>
      </c>
      <c r="R170" s="16"/>
      <c r="S170" s="60">
        <f t="shared" si="119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0"/>
        <v>184751</v>
      </c>
      <c r="AB170" s="33"/>
      <c r="AC170" s="46">
        <f t="shared" si="121"/>
        <v>3.0429073137919625E-2</v>
      </c>
      <c r="AD170" s="33"/>
      <c r="AE170" s="33">
        <f t="shared" si="122"/>
        <v>1147.5217391304348</v>
      </c>
      <c r="AF170" s="50"/>
      <c r="AG170" s="33">
        <f t="shared" si="123"/>
        <v>6797</v>
      </c>
      <c r="AH170" s="33">
        <f>SUM(D141:D247)</f>
        <v>412889315.35152841</v>
      </c>
      <c r="AI170" s="231">
        <f t="shared" si="124"/>
        <v>-3.4654168441982672E-2</v>
      </c>
      <c r="AJ170" s="50"/>
      <c r="AK170" s="10"/>
      <c r="AL170" s="23">
        <f t="shared" si="125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6"/>
        <v>1.0283774726821675E-2</v>
      </c>
      <c r="AS170" s="25"/>
      <c r="AT170" s="25"/>
      <c r="AU170" s="24"/>
      <c r="AV170" s="341">
        <f t="shared" si="127"/>
        <v>0.55141629069053277</v>
      </c>
      <c r="AW170" s="341"/>
      <c r="AX170" s="24">
        <f t="shared" si="128"/>
        <v>20794.658385093167</v>
      </c>
      <c r="AY170" s="351"/>
      <c r="AZ170" s="10"/>
      <c r="BA170" s="66">
        <f t="shared" si="129"/>
        <v>839920</v>
      </c>
      <c r="BB170" s="67"/>
      <c r="BC170" s="67">
        <v>79472486</v>
      </c>
      <c r="BD170" s="67"/>
      <c r="BE170" s="67">
        <f t="shared" si="130"/>
        <v>46006</v>
      </c>
      <c r="BF170" s="67"/>
      <c r="BG170" s="156">
        <f t="shared" si="131"/>
        <v>5.4774264215639586E-2</v>
      </c>
      <c r="BH170" s="67"/>
      <c r="BI170" s="183"/>
      <c r="BJ170" s="67"/>
      <c r="BK170" s="67">
        <f t="shared" si="132"/>
        <v>5604154</v>
      </c>
      <c r="BL170" s="67"/>
      <c r="BM170" s="156">
        <f t="shared" si="133"/>
        <v>5.3398425525065872E-2</v>
      </c>
      <c r="BN170" s="66">
        <f t="shared" si="134"/>
        <v>493617.92546583852</v>
      </c>
      <c r="BO170" s="67"/>
      <c r="BP170" s="67">
        <f t="shared" si="135"/>
        <v>5754221</v>
      </c>
      <c r="BQ170" s="67"/>
      <c r="BR170" s="478">
        <f t="shared" si="136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5"/>
        <v>6121130</v>
      </c>
      <c r="I171" s="16"/>
      <c r="J171" s="479">
        <f t="shared" si="116"/>
        <v>8.1694413384173908E-3</v>
      </c>
      <c r="K171" s="16"/>
      <c r="L171" s="16"/>
      <c r="M171" s="16"/>
      <c r="N171" s="16">
        <f t="shared" si="117"/>
        <v>298373</v>
      </c>
      <c r="O171" s="16">
        <f t="shared" si="137"/>
        <v>37784.753086419754</v>
      </c>
      <c r="P171" s="41"/>
      <c r="Q171" s="17">
        <f t="shared" si="118"/>
        <v>298373</v>
      </c>
      <c r="R171" s="16"/>
      <c r="S171" s="60">
        <f t="shared" si="119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0"/>
        <v>185856</v>
      </c>
      <c r="AB171" s="33"/>
      <c r="AC171" s="46">
        <f t="shared" si="121"/>
        <v>3.0363021206868665E-2</v>
      </c>
      <c r="AD171" s="33"/>
      <c r="AE171" s="33">
        <f t="shared" si="122"/>
        <v>1147.2592592592594</v>
      </c>
      <c r="AF171" s="50"/>
      <c r="AG171" s="33">
        <f t="shared" si="123"/>
        <v>6732</v>
      </c>
      <c r="AH171" s="33">
        <f>SUM(D142:D248)</f>
        <v>412822394.35152841</v>
      </c>
      <c r="AI171" s="231">
        <f t="shared" si="124"/>
        <v>-5.0627556056973631E-2</v>
      </c>
      <c r="AJ171" s="50"/>
      <c r="AK171" s="10"/>
      <c r="AL171" s="23">
        <f t="shared" si="125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6"/>
        <v>8.3328852966301666E-3</v>
      </c>
      <c r="AS171" s="25"/>
      <c r="AT171" s="25"/>
      <c r="AU171" s="24"/>
      <c r="AV171" s="341">
        <f t="shared" si="127"/>
        <v>0.55150568604162953</v>
      </c>
      <c r="AW171" s="341"/>
      <c r="AX171" s="24">
        <f t="shared" si="128"/>
        <v>20838.506172839505</v>
      </c>
      <c r="AY171" s="351"/>
      <c r="AZ171" s="10"/>
      <c r="BA171" s="66">
        <f t="shared" si="129"/>
        <v>827184</v>
      </c>
      <c r="BB171" s="67"/>
      <c r="BC171" s="67">
        <v>80299670</v>
      </c>
      <c r="BD171" s="67"/>
      <c r="BE171" s="67">
        <f t="shared" si="130"/>
        <v>49601</v>
      </c>
      <c r="BF171" s="67"/>
      <c r="BG171" s="156">
        <f t="shared" si="131"/>
        <v>5.9963684017098978E-2</v>
      </c>
      <c r="BH171" s="67"/>
      <c r="BI171" s="183"/>
      <c r="BJ171" s="67"/>
      <c r="BK171" s="67">
        <f t="shared" si="132"/>
        <v>5581090</v>
      </c>
      <c r="BL171" s="67"/>
      <c r="BM171" s="156">
        <f t="shared" si="133"/>
        <v>5.346142061855301E-2</v>
      </c>
      <c r="BN171" s="66">
        <f t="shared" si="134"/>
        <v>495676.97530864197</v>
      </c>
      <c r="BO171" s="67"/>
      <c r="BP171" s="67">
        <f t="shared" si="135"/>
        <v>5803822</v>
      </c>
      <c r="BQ171" s="67"/>
      <c r="BR171" s="478">
        <f t="shared" si="136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5"/>
        <v>6163790</v>
      </c>
      <c r="I172" s="16"/>
      <c r="J172" s="479">
        <f t="shared" si="116"/>
        <v>6.9693014198358803E-3</v>
      </c>
      <c r="K172" s="16"/>
      <c r="L172" s="16"/>
      <c r="M172" s="16"/>
      <c r="N172" s="16">
        <f t="shared" si="117"/>
        <v>297204</v>
      </c>
      <c r="O172" s="16">
        <f t="shared" si="137"/>
        <v>37814.662576687115</v>
      </c>
      <c r="P172" s="41"/>
      <c r="Q172" s="17">
        <f t="shared" si="118"/>
        <v>297204</v>
      </c>
      <c r="R172" s="16"/>
      <c r="S172" s="60">
        <f t="shared" si="119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0"/>
        <v>186810</v>
      </c>
      <c r="AB172" s="33"/>
      <c r="AC172" s="46">
        <f t="shared" si="121"/>
        <v>3.0307651623432984E-2</v>
      </c>
      <c r="AD172" s="33"/>
      <c r="AE172" s="33">
        <f t="shared" si="122"/>
        <v>1146.0736196319019</v>
      </c>
      <c r="AF172" s="50"/>
      <c r="AG172" s="33">
        <f t="shared" si="123"/>
        <v>6712</v>
      </c>
      <c r="AH172" s="33">
        <f>SUM(D143:D249)</f>
        <v>412753825.35152841</v>
      </c>
      <c r="AI172" s="231">
        <f t="shared" si="124"/>
        <v>-4.0320274521018017E-2</v>
      </c>
      <c r="AJ172" s="50"/>
      <c r="AK172" s="10"/>
      <c r="AL172" s="23">
        <f t="shared" si="125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6"/>
        <v>9.7637979073640375E-3</v>
      </c>
      <c r="AS172" s="25"/>
      <c r="AT172" s="25"/>
      <c r="AU172" s="24"/>
      <c r="AV172" s="341">
        <f t="shared" si="127"/>
        <v>0.55303620013011479</v>
      </c>
      <c r="AW172" s="341"/>
      <c r="AX172" s="24">
        <f t="shared" si="128"/>
        <v>20912.877300613498</v>
      </c>
      <c r="AY172" s="351"/>
      <c r="AZ172" s="10"/>
      <c r="BA172" s="66">
        <f t="shared" si="129"/>
        <v>802727</v>
      </c>
      <c r="BB172" s="67"/>
      <c r="BC172" s="67">
        <v>81102397</v>
      </c>
      <c r="BD172" s="67"/>
      <c r="BE172" s="67">
        <f t="shared" si="130"/>
        <v>42660</v>
      </c>
      <c r="BF172" s="67"/>
      <c r="BG172" s="156">
        <f t="shared" si="131"/>
        <v>5.3143845915236437E-2</v>
      </c>
      <c r="BH172" s="67"/>
      <c r="BI172" s="183"/>
      <c r="BJ172" s="67"/>
      <c r="BK172" s="67">
        <f t="shared" si="132"/>
        <v>5627222</v>
      </c>
      <c r="BL172" s="67"/>
      <c r="BM172" s="156">
        <f t="shared" si="133"/>
        <v>5.2815403408644622E-2</v>
      </c>
      <c r="BN172" s="66">
        <f t="shared" si="134"/>
        <v>497560.71779141104</v>
      </c>
      <c r="BO172" s="67"/>
      <c r="BP172" s="67">
        <f t="shared" si="135"/>
        <v>5846482</v>
      </c>
      <c r="BQ172" s="67"/>
      <c r="BR172" s="478">
        <f t="shared" si="136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5"/>
        <v>6197771</v>
      </c>
      <c r="I173" s="16"/>
      <c r="J173" s="479">
        <f t="shared" si="116"/>
        <v>5.5130041743797244E-3</v>
      </c>
      <c r="K173" s="16"/>
      <c r="L173" s="16"/>
      <c r="M173" s="16"/>
      <c r="N173" s="16">
        <f t="shared" si="117"/>
        <v>298467</v>
      </c>
      <c r="O173" s="16">
        <f t="shared" si="137"/>
        <v>37791.286585365851</v>
      </c>
      <c r="P173" s="41"/>
      <c r="Q173" s="17">
        <f t="shared" si="118"/>
        <v>298467</v>
      </c>
      <c r="R173" s="16"/>
      <c r="S173" s="60">
        <f t="shared" si="119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0"/>
        <v>187179</v>
      </c>
      <c r="AB173" s="33"/>
      <c r="AC173" s="46">
        <f t="shared" si="121"/>
        <v>3.0201019043782029E-2</v>
      </c>
      <c r="AD173" s="33"/>
      <c r="AE173" s="33">
        <f t="shared" si="122"/>
        <v>1141.3353658536585</v>
      </c>
      <c r="AF173" s="50"/>
      <c r="AG173" s="33">
        <f t="shared" si="123"/>
        <v>6651</v>
      </c>
      <c r="AH173" s="33">
        <f>SUM(D144:D250)</f>
        <v>412682742.35152841</v>
      </c>
      <c r="AI173" s="231">
        <f t="shared" si="124"/>
        <v>-3.6366270646189511E-2</v>
      </c>
      <c r="AJ173" s="50"/>
      <c r="AK173" s="10"/>
      <c r="AL173" s="23">
        <f t="shared" si="125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6"/>
        <v>4.9647984524754905E-3</v>
      </c>
      <c r="AS173" s="25"/>
      <c r="AT173" s="25"/>
      <c r="AU173" s="24"/>
      <c r="AV173" s="341">
        <f t="shared" si="127"/>
        <v>0.55273468477618803</v>
      </c>
      <c r="AW173" s="341"/>
      <c r="AX173" s="24">
        <f t="shared" si="128"/>
        <v>20888.554878048781</v>
      </c>
      <c r="AY173" s="351"/>
      <c r="AZ173" s="391"/>
      <c r="BA173" s="66">
        <f t="shared" si="129"/>
        <v>727682</v>
      </c>
      <c r="BB173" s="67"/>
      <c r="BC173" s="67">
        <v>81830079</v>
      </c>
      <c r="BD173" s="67"/>
      <c r="BE173" s="67">
        <f t="shared" si="130"/>
        <v>33981</v>
      </c>
      <c r="BF173" s="67"/>
      <c r="BG173" s="156">
        <f t="shared" si="131"/>
        <v>4.6697595927891578E-2</v>
      </c>
      <c r="BH173" s="67"/>
      <c r="BI173" s="183"/>
      <c r="BJ173" s="67"/>
      <c r="BK173" s="67">
        <f t="shared" si="132"/>
        <v>5670701</v>
      </c>
      <c r="BL173" s="67"/>
      <c r="BM173" s="156">
        <f t="shared" si="133"/>
        <v>5.2633175334054823E-2</v>
      </c>
      <c r="BN173" s="66">
        <f t="shared" si="134"/>
        <v>498963.89634146343</v>
      </c>
      <c r="BO173" s="67"/>
      <c r="BP173" s="67">
        <f t="shared" si="135"/>
        <v>5880463</v>
      </c>
      <c r="BQ173" s="67"/>
      <c r="BR173" s="478">
        <f t="shared" si="136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5"/>
        <v>6236331</v>
      </c>
      <c r="I174" s="16"/>
      <c r="J174" s="479">
        <f t="shared" si="116"/>
        <v>6.221591601238574E-3</v>
      </c>
      <c r="K174" s="16"/>
      <c r="L174" s="16"/>
      <c r="M174" s="16"/>
      <c r="N174" s="16">
        <f t="shared" si="117"/>
        <v>295543</v>
      </c>
      <c r="O174" s="16">
        <f t="shared" si="137"/>
        <v>37795.945454545457</v>
      </c>
      <c r="P174" s="41"/>
      <c r="Q174" s="17">
        <f t="shared" si="118"/>
        <v>295543</v>
      </c>
      <c r="R174" s="16"/>
      <c r="S174" s="60">
        <f t="shared" si="119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0"/>
        <v>187691</v>
      </c>
      <c r="AB174" s="33"/>
      <c r="AC174" s="46">
        <f t="shared" si="121"/>
        <v>3.0096381991270186E-2</v>
      </c>
      <c r="AD174" s="33"/>
      <c r="AE174" s="33">
        <f t="shared" si="122"/>
        <v>1137.5212121212121</v>
      </c>
      <c r="AF174" s="50"/>
      <c r="AG174" s="33">
        <f t="shared" si="123"/>
        <v>6653</v>
      </c>
      <c r="AH174" s="33">
        <f>SUM(D145:D251)</f>
        <v>412624201.35152841</v>
      </c>
      <c r="AI174" s="231">
        <f t="shared" si="124"/>
        <v>-2.4915726220137768E-2</v>
      </c>
      <c r="AJ174" s="50"/>
      <c r="AK174" s="10"/>
      <c r="AL174" s="23">
        <f t="shared" si="125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6"/>
        <v>8.9149064299711336E-3</v>
      </c>
      <c r="AS174" s="25"/>
      <c r="AT174" s="25"/>
      <c r="AU174" s="24"/>
      <c r="AV174" s="341">
        <f t="shared" si="127"/>
        <v>0.55421416855519701</v>
      </c>
      <c r="AW174" s="341"/>
      <c r="AX174" s="24">
        <f t="shared" si="128"/>
        <v>20947.048484848485</v>
      </c>
      <c r="AY174" s="351"/>
      <c r="AZ174" s="10"/>
      <c r="BA174" s="66">
        <f t="shared" si="129"/>
        <v>794762</v>
      </c>
      <c r="BB174" s="67"/>
      <c r="BC174" s="67">
        <v>82624841</v>
      </c>
      <c r="BD174" s="67"/>
      <c r="BE174" s="67">
        <f t="shared" si="130"/>
        <v>38560</v>
      </c>
      <c r="BF174" s="67"/>
      <c r="BG174" s="156">
        <f t="shared" si="131"/>
        <v>4.8517669440662742E-2</v>
      </c>
      <c r="BH174" s="67"/>
      <c r="BI174" s="183"/>
      <c r="BJ174" s="67"/>
      <c r="BK174" s="67">
        <f t="shared" si="132"/>
        <v>5741362</v>
      </c>
      <c r="BL174" s="67"/>
      <c r="BM174" s="156">
        <f t="shared" si="133"/>
        <v>5.147611315921205E-2</v>
      </c>
      <c r="BN174" s="66">
        <f t="shared" si="134"/>
        <v>500756.61212121212</v>
      </c>
      <c r="BO174" s="67"/>
      <c r="BP174" s="67">
        <f t="shared" si="135"/>
        <v>5919023</v>
      </c>
      <c r="BQ174" s="67"/>
      <c r="BR174" s="478">
        <f t="shared" si="136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5"/>
        <v>6278310</v>
      </c>
      <c r="I175" s="16"/>
      <c r="J175" s="479">
        <f t="shared" si="116"/>
        <v>6.7313617574179434E-3</v>
      </c>
      <c r="K175" s="16"/>
      <c r="L175" s="16"/>
      <c r="M175" s="16"/>
      <c r="N175" s="16">
        <f t="shared" si="117"/>
        <v>297424</v>
      </c>
      <c r="O175" s="16">
        <f t="shared" si="137"/>
        <v>37821.144578313251</v>
      </c>
      <c r="P175" s="41"/>
      <c r="Q175" s="17">
        <f t="shared" si="118"/>
        <v>297424</v>
      </c>
      <c r="R175" s="16"/>
      <c r="S175" s="60">
        <f t="shared" si="119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0"/>
        <v>188855</v>
      </c>
      <c r="AB175" s="33"/>
      <c r="AC175" s="46">
        <f t="shared" si="121"/>
        <v>3.0080547153612993E-2</v>
      </c>
      <c r="AD175" s="33"/>
      <c r="AE175" s="33">
        <f t="shared" si="122"/>
        <v>1137.6807228915663</v>
      </c>
      <c r="AF175" s="50"/>
      <c r="AG175" s="33">
        <f t="shared" si="123"/>
        <v>6527</v>
      </c>
      <c r="AH175" s="33">
        <f>SUM(D146:D252)</f>
        <v>412575163.35152841</v>
      </c>
      <c r="AI175" s="231">
        <f t="shared" si="124"/>
        <v>-3.3752775721687639E-2</v>
      </c>
      <c r="AJ175" s="50"/>
      <c r="AK175" s="10"/>
      <c r="AL175" s="23">
        <f t="shared" si="125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6"/>
        <v>1.1761257751507916E-2</v>
      </c>
      <c r="AS175" s="25"/>
      <c r="AT175" s="25"/>
      <c r="AU175" s="24"/>
      <c r="AV175" s="341">
        <f t="shared" si="127"/>
        <v>0.55698316903752765</v>
      </c>
      <c r="AW175" s="341"/>
      <c r="AX175" s="24">
        <f t="shared" si="128"/>
        <v>21065.74096385542</v>
      </c>
      <c r="AY175" s="351"/>
      <c r="AZ175" s="10"/>
      <c r="BA175" s="66">
        <f t="shared" si="129"/>
        <v>725278</v>
      </c>
      <c r="BB175" s="67"/>
      <c r="BC175" s="67">
        <v>83350119</v>
      </c>
      <c r="BD175" s="67"/>
      <c r="BE175" s="67">
        <f t="shared" si="130"/>
        <v>41979</v>
      </c>
      <c r="BF175" s="67"/>
      <c r="BG175" s="156">
        <f t="shared" si="131"/>
        <v>5.7879875027230937E-2</v>
      </c>
      <c r="BH175" s="67"/>
      <c r="BI175" s="183"/>
      <c r="BJ175" s="67"/>
      <c r="BK175" s="67">
        <f t="shared" si="132"/>
        <v>5418712</v>
      </c>
      <c r="BL175" s="67"/>
      <c r="BM175" s="156">
        <f t="shared" si="133"/>
        <v>5.4888320324091779E-2</v>
      </c>
      <c r="BN175" s="66">
        <f t="shared" si="134"/>
        <v>502109.15060240962</v>
      </c>
      <c r="BO175" s="67"/>
      <c r="BP175" s="67">
        <f t="shared" si="135"/>
        <v>5961002</v>
      </c>
      <c r="BQ175" s="67"/>
      <c r="BR175" s="478">
        <f t="shared" si="136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5"/>
        <v>6319521</v>
      </c>
      <c r="I176" s="16"/>
      <c r="J176" s="479">
        <f t="shared" si="116"/>
        <v>6.5640275806705941E-3</v>
      </c>
      <c r="K176" s="16"/>
      <c r="L176" s="16"/>
      <c r="M176" s="16"/>
      <c r="N176" s="16">
        <f t="shared" si="117"/>
        <v>293998</v>
      </c>
      <c r="O176" s="16">
        <f t="shared" si="137"/>
        <v>37841.443113772453</v>
      </c>
      <c r="P176" s="41"/>
      <c r="Q176" s="17">
        <f t="shared" si="118"/>
        <v>293998</v>
      </c>
      <c r="R176" s="16"/>
      <c r="S176" s="60">
        <f t="shared" si="119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0"/>
        <v>189945</v>
      </c>
      <c r="AB176" s="33"/>
      <c r="AC176" s="46">
        <f t="shared" si="121"/>
        <v>3.0056866651760474E-2</v>
      </c>
      <c r="AD176" s="33"/>
      <c r="AE176" s="33">
        <f t="shared" si="122"/>
        <v>1137.3952095808384</v>
      </c>
      <c r="AF176" s="50"/>
      <c r="AG176" s="33">
        <f t="shared" si="123"/>
        <v>6337</v>
      </c>
      <c r="AH176" s="33">
        <f>SUM(D147:D253)</f>
        <v>412526517.35152841</v>
      </c>
      <c r="AI176" s="231">
        <f t="shared" si="124"/>
        <v>-6.1324248259517107E-2</v>
      </c>
      <c r="AJ176" s="50"/>
      <c r="AK176" s="10"/>
      <c r="AL176" s="23">
        <f t="shared" si="125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6"/>
        <v>1.4332355423197546E-2</v>
      </c>
      <c r="AS176" s="25"/>
      <c r="AT176" s="25"/>
      <c r="AU176" s="24"/>
      <c r="AV176" s="341">
        <f t="shared" si="127"/>
        <v>0.56128178069192269</v>
      </c>
      <c r="AW176" s="341"/>
      <c r="AX176" s="24">
        <f t="shared" si="128"/>
        <v>21239.712574850299</v>
      </c>
      <c r="AY176" s="351"/>
      <c r="AZ176" s="10"/>
      <c r="BA176" s="66">
        <f t="shared" si="129"/>
        <v>748292</v>
      </c>
      <c r="BB176" s="67"/>
      <c r="BC176" s="67">
        <v>84098411</v>
      </c>
      <c r="BD176" s="67"/>
      <c r="BE176" s="67">
        <f t="shared" si="130"/>
        <v>41211</v>
      </c>
      <c r="BF176" s="67"/>
      <c r="BG176" s="156">
        <f t="shared" si="131"/>
        <v>5.5073420536368156E-2</v>
      </c>
      <c r="BH176" s="67"/>
      <c r="BI176" s="183"/>
      <c r="BJ176" s="67"/>
      <c r="BK176" s="67">
        <f t="shared" si="132"/>
        <v>5465845</v>
      </c>
      <c r="BL176" s="67"/>
      <c r="BM176" s="156">
        <f t="shared" si="133"/>
        <v>5.3788206581050137E-2</v>
      </c>
      <c r="BN176" s="66">
        <f t="shared" si="134"/>
        <v>503583.29940119758</v>
      </c>
      <c r="BO176" s="67"/>
      <c r="BP176" s="67">
        <f t="shared" si="135"/>
        <v>6002213</v>
      </c>
      <c r="BQ176" s="67"/>
      <c r="BR176" s="478">
        <f t="shared" si="136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5"/>
        <v>6364985</v>
      </c>
      <c r="I177" s="16"/>
      <c r="J177" s="479">
        <f t="shared" si="116"/>
        <v>7.1942161439134391E-3</v>
      </c>
      <c r="K177" s="16"/>
      <c r="L177" s="16"/>
      <c r="M177" s="16"/>
      <c r="N177" s="16">
        <f t="shared" si="117"/>
        <v>293456</v>
      </c>
      <c r="O177" s="16">
        <f t="shared" si="137"/>
        <v>37886.815476190473</v>
      </c>
      <c r="P177" s="41"/>
      <c r="Q177" s="17">
        <f t="shared" si="118"/>
        <v>293456</v>
      </c>
      <c r="R177" s="16"/>
      <c r="S177" s="60">
        <f t="shared" si="119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0"/>
        <v>191059</v>
      </c>
      <c r="AB177" s="33"/>
      <c r="AC177" s="46">
        <f t="shared" si="121"/>
        <v>3.0017195641466553E-2</v>
      </c>
      <c r="AD177" s="33"/>
      <c r="AE177" s="33">
        <f t="shared" si="122"/>
        <v>1137.2559523809523</v>
      </c>
      <c r="AF177" s="50"/>
      <c r="AG177" s="33">
        <f t="shared" si="123"/>
        <v>6308</v>
      </c>
      <c r="AH177" s="33">
        <f>SUM(D148:D254)</f>
        <v>412471953.35152841</v>
      </c>
      <c r="AI177" s="231">
        <f t="shared" si="124"/>
        <v>-7.1943504487273796E-2</v>
      </c>
      <c r="AJ177" s="50"/>
      <c r="AK177" s="10"/>
      <c r="AL177" s="23">
        <f t="shared" si="125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6"/>
        <v>7.9119669628015758E-3</v>
      </c>
      <c r="AS177" s="25"/>
      <c r="AT177" s="25"/>
      <c r="AU177" s="24"/>
      <c r="AV177" s="341">
        <f t="shared" si="127"/>
        <v>0.56168176358624566</v>
      </c>
      <c r="AW177" s="341"/>
      <c r="AX177" s="24">
        <f t="shared" si="128"/>
        <v>21280.333333333332</v>
      </c>
      <c r="AY177" s="351"/>
      <c r="AZ177" s="10"/>
      <c r="BA177" s="66">
        <f t="shared" si="129"/>
        <v>783118</v>
      </c>
      <c r="BB177" s="67"/>
      <c r="BC177" s="67">
        <v>84881529</v>
      </c>
      <c r="BD177" s="67"/>
      <c r="BE177" s="67">
        <f t="shared" si="130"/>
        <v>45464</v>
      </c>
      <c r="BF177" s="67"/>
      <c r="BG177" s="156">
        <f t="shared" si="131"/>
        <v>5.8055107914771462E-2</v>
      </c>
      <c r="BH177" s="67"/>
      <c r="BI177" s="183"/>
      <c r="BJ177" s="67"/>
      <c r="BK177" s="67">
        <f t="shared" si="132"/>
        <v>5409043</v>
      </c>
      <c r="BL177" s="67"/>
      <c r="BM177" s="156">
        <f t="shared" si="133"/>
        <v>5.4252850273144436E-2</v>
      </c>
      <c r="BN177" s="66">
        <f t="shared" si="134"/>
        <v>505247.19642857142</v>
      </c>
      <c r="BO177" s="67"/>
      <c r="BP177" s="67">
        <f t="shared" si="135"/>
        <v>6047677</v>
      </c>
      <c r="BQ177" s="67"/>
      <c r="BR177" s="478">
        <f t="shared" si="136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5"/>
        <v>6417834</v>
      </c>
      <c r="I178" s="16"/>
      <c r="J178" s="479">
        <f t="shared" si="116"/>
        <v>8.3030831965825534E-3</v>
      </c>
      <c r="K178" s="16"/>
      <c r="L178" s="16"/>
      <c r="M178" s="16"/>
      <c r="N178" s="16">
        <f t="shared" si="117"/>
        <v>296704</v>
      </c>
      <c r="O178" s="16">
        <f t="shared" si="137"/>
        <v>37975.349112426033</v>
      </c>
      <c r="P178" s="41"/>
      <c r="Q178" s="17">
        <f t="shared" si="118"/>
        <v>296704</v>
      </c>
      <c r="R178" s="16"/>
      <c r="S178" s="60">
        <f t="shared" si="119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0"/>
        <v>192092</v>
      </c>
      <c r="AB178" s="33"/>
      <c r="AC178" s="46">
        <f t="shared" si="121"/>
        <v>2.9930970480071626E-2</v>
      </c>
      <c r="AD178" s="33"/>
      <c r="AE178" s="33">
        <f t="shared" si="122"/>
        <v>1136.6390532544378</v>
      </c>
      <c r="AF178" s="50"/>
      <c r="AG178" s="33">
        <f t="shared" si="123"/>
        <v>6236</v>
      </c>
      <c r="AH178" s="33">
        <f>SUM(D149:D255)</f>
        <v>412416805.35152841</v>
      </c>
      <c r="AI178" s="231">
        <f t="shared" si="124"/>
        <v>-7.3677956030897204E-2</v>
      </c>
      <c r="AJ178" s="50"/>
      <c r="AK178" s="10"/>
      <c r="AL178" s="23">
        <f t="shared" si="125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6"/>
        <v>2.8383293763300343E-2</v>
      </c>
      <c r="AS178" s="25"/>
      <c r="AT178" s="25"/>
      <c r="AU178" s="24"/>
      <c r="AV178" s="341">
        <f t="shared" si="127"/>
        <v>0.57286757494818341</v>
      </c>
      <c r="AW178" s="341"/>
      <c r="AX178" s="24">
        <f t="shared" si="128"/>
        <v>21754.846153846152</v>
      </c>
      <c r="AY178" s="351"/>
      <c r="AZ178" s="10"/>
      <c r="BA178" s="66">
        <f t="shared" si="129"/>
        <v>1014188</v>
      </c>
      <c r="BB178" s="67"/>
      <c r="BC178" s="67">
        <v>85895717</v>
      </c>
      <c r="BD178" s="67"/>
      <c r="BE178" s="67">
        <f t="shared" si="130"/>
        <v>52849</v>
      </c>
      <c r="BF178" s="67"/>
      <c r="BG178" s="156">
        <f t="shared" si="131"/>
        <v>5.2109668029990494E-2</v>
      </c>
      <c r="BH178" s="67"/>
      <c r="BI178" s="183"/>
      <c r="BJ178" s="67"/>
      <c r="BK178" s="67">
        <f t="shared" si="132"/>
        <v>5596047</v>
      </c>
      <c r="BL178" s="67"/>
      <c r="BM178" s="156">
        <f t="shared" si="133"/>
        <v>5.3020283782462874E-2</v>
      </c>
      <c r="BN178" s="66">
        <f t="shared" si="134"/>
        <v>508258.68047337281</v>
      </c>
      <c r="BO178" s="67"/>
      <c r="BP178" s="67">
        <f t="shared" si="135"/>
        <v>6100526</v>
      </c>
      <c r="BQ178" s="67"/>
      <c r="BR178" s="478">
        <f t="shared" si="136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5"/>
        <v>6459926</v>
      </c>
      <c r="I179" s="16"/>
      <c r="J179" s="479">
        <f t="shared" si="116"/>
        <v>6.558599053824078E-3</v>
      </c>
      <c r="K179" s="16"/>
      <c r="L179" s="16"/>
      <c r="M179" s="16"/>
      <c r="N179" s="16">
        <f t="shared" si="117"/>
        <v>296136</v>
      </c>
      <c r="O179" s="16">
        <f t="shared" si="137"/>
        <v>37999.564705882352</v>
      </c>
      <c r="P179" s="41"/>
      <c r="Q179" s="17">
        <f t="shared" si="118"/>
        <v>296136</v>
      </c>
      <c r="R179" s="16"/>
      <c r="S179" s="60">
        <f t="shared" si="119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0"/>
        <v>192799</v>
      </c>
      <c r="AB179" s="33"/>
      <c r="AC179" s="46">
        <f t="shared" si="121"/>
        <v>2.984538832178573E-2</v>
      </c>
      <c r="AD179" s="33"/>
      <c r="AE179" s="33">
        <f t="shared" si="122"/>
        <v>1134.1117647058823</v>
      </c>
      <c r="AF179" s="50"/>
      <c r="AG179" s="33">
        <f t="shared" si="123"/>
        <v>5989</v>
      </c>
      <c r="AH179" s="33">
        <f>SUM(D150:D256)</f>
        <v>412358095.35152841</v>
      </c>
      <c r="AI179" s="231">
        <f t="shared" si="124"/>
        <v>-0.10771752085816448</v>
      </c>
      <c r="AJ179" s="50"/>
      <c r="AK179" s="10"/>
      <c r="AL179" s="23">
        <f t="shared" si="125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6"/>
        <v>8.2770104409845158E-3</v>
      </c>
      <c r="AS179" s="25"/>
      <c r="AT179" s="25"/>
      <c r="AU179" s="24"/>
      <c r="AV179" s="341">
        <f t="shared" si="127"/>
        <v>0.57384558275125752</v>
      </c>
      <c r="AW179" s="341"/>
      <c r="AX179" s="24">
        <f t="shared" si="128"/>
        <v>21805.882352941175</v>
      </c>
      <c r="AY179" s="351"/>
      <c r="AZ179" s="10"/>
      <c r="BA179" s="66">
        <f t="shared" si="129"/>
        <v>863485</v>
      </c>
      <c r="BB179" s="67"/>
      <c r="BC179" s="67">
        <v>86759202</v>
      </c>
      <c r="BD179" s="67"/>
      <c r="BE179" s="67">
        <f t="shared" si="130"/>
        <v>42092</v>
      </c>
      <c r="BF179" s="67"/>
      <c r="BG179" s="156">
        <f t="shared" si="131"/>
        <v>4.8746648754755435E-2</v>
      </c>
      <c r="BH179" s="67"/>
      <c r="BI179" s="183"/>
      <c r="BJ179" s="67"/>
      <c r="BK179" s="67">
        <f t="shared" si="132"/>
        <v>5656805</v>
      </c>
      <c r="BL179" s="67"/>
      <c r="BM179" s="156">
        <f t="shared" si="133"/>
        <v>5.2350399209447736E-2</v>
      </c>
      <c r="BN179" s="66">
        <f t="shared" si="134"/>
        <v>510348.24705882353</v>
      </c>
      <c r="BO179" s="67"/>
      <c r="BP179" s="67">
        <f t="shared" si="135"/>
        <v>6142618</v>
      </c>
      <c r="BQ179" s="67"/>
      <c r="BR179" s="478">
        <f t="shared" si="136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5"/>
        <v>6491036</v>
      </c>
      <c r="I180" s="16"/>
      <c r="J180" s="479">
        <f t="shared" si="116"/>
        <v>4.8158446397063995E-3</v>
      </c>
      <c r="K180" s="16"/>
      <c r="L180" s="16"/>
      <c r="M180" s="16"/>
      <c r="N180" s="16">
        <f t="shared" si="117"/>
        <v>293265</v>
      </c>
      <c r="O180" s="16">
        <f t="shared" si="137"/>
        <v>37959.274853801173</v>
      </c>
      <c r="P180" s="41"/>
      <c r="Q180" s="17">
        <f t="shared" si="118"/>
        <v>293265</v>
      </c>
      <c r="R180" s="16"/>
      <c r="S180" s="60">
        <f t="shared" si="119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0"/>
        <v>193229</v>
      </c>
      <c r="AB180" s="33"/>
      <c r="AC180" s="46">
        <f t="shared" si="121"/>
        <v>2.976859163930072E-2</v>
      </c>
      <c r="AD180" s="33"/>
      <c r="AE180" s="33">
        <f t="shared" si="122"/>
        <v>1129.9941520467837</v>
      </c>
      <c r="AF180" s="50"/>
      <c r="AG180" s="33">
        <f t="shared" si="123"/>
        <v>6050</v>
      </c>
      <c r="AH180" s="33">
        <f>SUM(D151:D257)</f>
        <v>412294849.35152841</v>
      </c>
      <c r="AI180" s="231">
        <f t="shared" si="124"/>
        <v>-9.0362351526086307E-2</v>
      </c>
      <c r="AJ180" s="50"/>
      <c r="AK180" s="10"/>
      <c r="AL180" s="23">
        <f t="shared" si="125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6"/>
        <v>5.1173455624494201E-3</v>
      </c>
      <c r="AS180" s="25"/>
      <c r="AT180" s="25"/>
      <c r="AU180" s="24"/>
      <c r="AV180" s="341">
        <f t="shared" si="127"/>
        <v>0.574017768504134</v>
      </c>
      <c r="AW180" s="341"/>
      <c r="AX180" s="24">
        <f t="shared" si="128"/>
        <v>21789.298245614034</v>
      </c>
      <c r="AY180" s="351"/>
      <c r="AZ180" s="391"/>
      <c r="BA180" s="66">
        <f t="shared" si="129"/>
        <v>715717</v>
      </c>
      <c r="BB180" s="67"/>
      <c r="BC180" s="67">
        <v>87474919</v>
      </c>
      <c r="BD180" s="67"/>
      <c r="BE180" s="67">
        <f t="shared" si="130"/>
        <v>31110</v>
      </c>
      <c r="BF180" s="67"/>
      <c r="BG180" s="156">
        <f t="shared" si="131"/>
        <v>4.3466901023728653E-2</v>
      </c>
      <c r="BH180" s="67"/>
      <c r="BI180" s="183"/>
      <c r="BJ180" s="67"/>
      <c r="BK180" s="67">
        <f t="shared" si="132"/>
        <v>5644840</v>
      </c>
      <c r="BL180" s="67"/>
      <c r="BM180" s="156">
        <f t="shared" si="133"/>
        <v>5.1952756854047238E-2</v>
      </c>
      <c r="BN180" s="66">
        <f t="shared" si="134"/>
        <v>511549.23391812865</v>
      </c>
      <c r="BO180" s="67"/>
      <c r="BP180" s="67">
        <f t="shared" si="135"/>
        <v>6173728</v>
      </c>
      <c r="BQ180" s="67"/>
      <c r="BR180" s="478">
        <f t="shared" si="136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5"/>
        <v>6516456</v>
      </c>
      <c r="I181" s="16"/>
      <c r="J181" s="479">
        <f t="shared" si="116"/>
        <v>3.9161699303470205E-3</v>
      </c>
      <c r="K181" s="16"/>
      <c r="L181" s="16"/>
      <c r="M181" s="16"/>
      <c r="N181" s="16">
        <f t="shared" si="117"/>
        <v>280125</v>
      </c>
      <c r="O181" s="16">
        <f t="shared" si="137"/>
        <v>37886.372093023259</v>
      </c>
      <c r="P181" s="41"/>
      <c r="Q181" s="17">
        <f t="shared" si="118"/>
        <v>280125</v>
      </c>
      <c r="R181" s="16"/>
      <c r="S181" s="60">
        <f t="shared" si="119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0"/>
        <v>193515</v>
      </c>
      <c r="AB181" s="33"/>
      <c r="AC181" s="46">
        <f t="shared" si="121"/>
        <v>2.9696356424412287E-2</v>
      </c>
      <c r="AD181" s="33"/>
      <c r="AE181" s="33">
        <f t="shared" si="122"/>
        <v>1125.0872093023256</v>
      </c>
      <c r="AF181" s="50"/>
      <c r="AG181" s="33">
        <f t="shared" si="123"/>
        <v>5824</v>
      </c>
      <c r="AH181" s="33">
        <f>SUM(D152:D258)</f>
        <v>412240650.35152841</v>
      </c>
      <c r="AI181" s="231">
        <f t="shared" si="124"/>
        <v>-0.12460544115436645</v>
      </c>
      <c r="AJ181" s="50"/>
      <c r="AK181" s="10"/>
      <c r="AL181" s="23">
        <f t="shared" si="125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6"/>
        <v>8.7652342879840691E-3</v>
      </c>
      <c r="AS181" s="25"/>
      <c r="AT181" s="25"/>
      <c r="AU181" s="24"/>
      <c r="AV181" s="341">
        <f t="shared" si="127"/>
        <v>0.57679035966789305</v>
      </c>
      <c r="AW181" s="341"/>
      <c r="AX181" s="24">
        <f t="shared" si="128"/>
        <v>21852.494186046511</v>
      </c>
      <c r="AY181" s="351"/>
      <c r="AZ181" s="10"/>
      <c r="BA181" s="66">
        <f t="shared" si="129"/>
        <v>592931</v>
      </c>
      <c r="BB181" s="67"/>
      <c r="BC181" s="67">
        <v>88067850</v>
      </c>
      <c r="BD181" s="67"/>
      <c r="BE181" s="67">
        <f t="shared" si="130"/>
        <v>25420</v>
      </c>
      <c r="BF181" s="67"/>
      <c r="BG181" s="156">
        <f t="shared" si="131"/>
        <v>4.2871767541248475E-2</v>
      </c>
      <c r="BH181" s="67"/>
      <c r="BI181" s="183"/>
      <c r="BJ181" s="67"/>
      <c r="BK181" s="67">
        <f t="shared" si="132"/>
        <v>5443009</v>
      </c>
      <c r="BL181" s="67"/>
      <c r="BM181" s="156">
        <f t="shared" si="133"/>
        <v>5.1465099543285708E-2</v>
      </c>
      <c r="BN181" s="66">
        <f t="shared" si="134"/>
        <v>512022.38372093026</v>
      </c>
      <c r="BO181" s="67"/>
      <c r="BP181" s="67">
        <f t="shared" si="135"/>
        <v>6199148</v>
      </c>
      <c r="BQ181" s="67"/>
      <c r="BR181" s="478">
        <f t="shared" si="136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5"/>
        <v>6544895</v>
      </c>
      <c r="I182" s="16"/>
      <c r="J182" s="479">
        <f t="shared" si="116"/>
        <v>4.3641820032238382E-3</v>
      </c>
      <c r="K182" s="16"/>
      <c r="L182" s="16"/>
      <c r="M182" s="16"/>
      <c r="N182" s="16">
        <f t="shared" si="117"/>
        <v>266585</v>
      </c>
      <c r="O182" s="16">
        <f t="shared" si="137"/>
        <v>37831.763005780347</v>
      </c>
      <c r="P182" s="41"/>
      <c r="Q182" s="17">
        <f t="shared" si="118"/>
        <v>266585</v>
      </c>
      <c r="R182" s="16"/>
      <c r="S182" s="60">
        <f t="shared" si="119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0"/>
        <v>194011</v>
      </c>
      <c r="AB182" s="33"/>
      <c r="AC182" s="46">
        <f t="shared" si="121"/>
        <v>2.9643103518085471E-2</v>
      </c>
      <c r="AD182" s="33"/>
      <c r="AE182" s="33">
        <f t="shared" si="122"/>
        <v>1121.4508670520231</v>
      </c>
      <c r="AF182" s="50"/>
      <c r="AG182" s="33">
        <f t="shared" si="123"/>
        <v>5156</v>
      </c>
      <c r="AH182" s="33">
        <f>SUM(D153:D259)</f>
        <v>412192801.35152841</v>
      </c>
      <c r="AI182" s="231">
        <f t="shared" si="124"/>
        <v>-0.21005055921556612</v>
      </c>
      <c r="AJ182" s="50"/>
      <c r="AK182" s="10"/>
      <c r="AL182" s="23">
        <f t="shared" si="125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6"/>
        <v>1.0144922523611669E-2</v>
      </c>
      <c r="AS182" s="25"/>
      <c r="AT182" s="25"/>
      <c r="AU182" s="24"/>
      <c r="AV182" s="341">
        <f t="shared" si="127"/>
        <v>0.58011014691603147</v>
      </c>
      <c r="AW182" s="341"/>
      <c r="AX182" s="24">
        <f t="shared" si="128"/>
        <v>21946.589595375721</v>
      </c>
      <c r="AY182" s="351"/>
      <c r="AZ182" s="10"/>
      <c r="BA182" s="66">
        <f t="shared" si="129"/>
        <v>589124</v>
      </c>
      <c r="BB182" s="67"/>
      <c r="BC182" s="67">
        <v>88656974</v>
      </c>
      <c r="BD182" s="67"/>
      <c r="BE182" s="67">
        <f t="shared" si="130"/>
        <v>28439</v>
      </c>
      <c r="BF182" s="67"/>
      <c r="BG182" s="156">
        <f t="shared" si="131"/>
        <v>4.8273368594727084E-2</v>
      </c>
      <c r="BH182" s="67"/>
      <c r="BI182" s="183"/>
      <c r="BJ182" s="67"/>
      <c r="BK182" s="67">
        <f t="shared" si="132"/>
        <v>5306855</v>
      </c>
      <c r="BL182" s="67"/>
      <c r="BM182" s="156">
        <f t="shared" si="133"/>
        <v>5.0234084029052987E-2</v>
      </c>
      <c r="BN182" s="66">
        <f t="shared" si="134"/>
        <v>512468.0578034682</v>
      </c>
      <c r="BO182" s="67"/>
      <c r="BP182" s="67">
        <f t="shared" si="135"/>
        <v>6227587</v>
      </c>
      <c r="BQ182" s="67"/>
      <c r="BR182" s="478">
        <f t="shared" si="136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" si="138">+H182+D183</f>
        <v>6580138</v>
      </c>
      <c r="I183" s="16"/>
      <c r="J183" s="479">
        <f t="shared" ref="J183" si="139">+D183/H182</f>
        <v>5.3848075484786238E-3</v>
      </c>
      <c r="K183" s="16"/>
      <c r="L183" s="16"/>
      <c r="M183" s="16"/>
      <c r="N183" s="16">
        <f t="shared" ref="N183" si="140">SUM(D177:D183)</f>
        <v>260617</v>
      </c>
      <c r="O183" s="16">
        <f t="shared" ref="O183" si="141">+H183/BW183</f>
        <v>37816.885057471263</v>
      </c>
      <c r="P183" s="41"/>
      <c r="Q183" s="17">
        <f t="shared" ref="Q183" si="142">SUM(D177:D183)</f>
        <v>260617</v>
      </c>
      <c r="R183" s="16"/>
      <c r="S183" s="60">
        <f t="shared" ref="S183" si="143"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" si="144">+AA182+W183</f>
        <v>195219</v>
      </c>
      <c r="AB183" s="33"/>
      <c r="AC183" s="46">
        <f t="shared" ref="AC183" si="145">+AA183/H183</f>
        <v>2.9667918818723861E-2</v>
      </c>
      <c r="AD183" s="33"/>
      <c r="AE183" s="33">
        <f t="shared" ref="AE183" si="146">+AA183/BW183</f>
        <v>1121.9482758620691</v>
      </c>
      <c r="AF183" s="50"/>
      <c r="AG183" s="33">
        <f t="shared" ref="AG183" si="147">SUM(W177:W183)</f>
        <v>5274</v>
      </c>
      <c r="AH183" s="33">
        <f t="shared" ref="AH183" si="148">SUM(D154:D260)</f>
        <v>412143001.35152841</v>
      </c>
      <c r="AI183" s="231">
        <f t="shared" ref="AI183" si="149">+(AG183-AG176)/AG176</f>
        <v>-0.16774498974278049</v>
      </c>
      <c r="AJ183" s="50"/>
      <c r="AK183" s="10"/>
      <c r="AL183" s="23">
        <f t="shared" ref="AL183" si="150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" si="151">+AL183/AP182</f>
        <v>1.2993973809247885E-2</v>
      </c>
      <c r="AS183" s="25"/>
      <c r="AT183" s="25"/>
      <c r="AU183" s="24"/>
      <c r="AV183" s="341">
        <f t="shared" ref="AV183" si="152">+AP183/H183</f>
        <v>0.5845006594086628</v>
      </c>
      <c r="AW183" s="341"/>
      <c r="AX183" s="24">
        <f t="shared" ref="AX183" si="153">+AP183/BW183</f>
        <v>22103.994252873563</v>
      </c>
      <c r="AY183" s="351"/>
      <c r="AZ183" s="10"/>
      <c r="BA183" s="66">
        <f t="shared" ref="BA183" si="154">+BC183-BC182</f>
        <v>626098</v>
      </c>
      <c r="BB183" s="67"/>
      <c r="BC183" s="67">
        <v>89283072</v>
      </c>
      <c r="BD183" s="67"/>
      <c r="BE183" s="67">
        <f t="shared" ref="BE183" si="155">+D183</f>
        <v>35243</v>
      </c>
      <c r="BF183" s="67"/>
      <c r="BG183" s="156">
        <f t="shared" ref="BG183" si="156">+BE183/BA183</f>
        <v>5.6289909886311724E-2</v>
      </c>
      <c r="BH183" s="67"/>
      <c r="BI183" s="183"/>
      <c r="BJ183" s="67"/>
      <c r="BK183" s="67">
        <f t="shared" ref="BK183" si="157">SUM(BA177:BA183)</f>
        <v>5184661</v>
      </c>
      <c r="BL183" s="67"/>
      <c r="BM183" s="156">
        <f t="shared" ref="BM183" si="158">+Q183/BK183</f>
        <v>5.026693162773805E-2</v>
      </c>
      <c r="BN183" s="66">
        <f t="shared" ref="BN183" si="159">+BC183/BW183</f>
        <v>513121.10344827588</v>
      </c>
      <c r="BO183" s="67"/>
      <c r="BP183" s="67">
        <f t="shared" ref="BP183" si="160">+BP182+BE183</f>
        <v>6262830</v>
      </c>
      <c r="BQ183" s="67"/>
      <c r="BR183" s="478">
        <f t="shared" ref="BR183" si="161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ref="H184" si="162">+H183+D184</f>
        <v>6618949</v>
      </c>
      <c r="I184" s="16"/>
      <c r="J184" s="479">
        <f t="shared" ref="J184" si="163">+D184/H183</f>
        <v>5.8982045665303675E-3</v>
      </c>
      <c r="K184" s="16"/>
      <c r="L184" s="16"/>
      <c r="M184" s="16"/>
      <c r="N184" s="16">
        <f t="shared" ref="N184" si="164">SUM(D178:D184)</f>
        <v>253964</v>
      </c>
      <c r="O184" s="16">
        <f t="shared" ref="O184" si="165">+H184/BW184</f>
        <v>37822.565714285716</v>
      </c>
      <c r="P184" s="41"/>
      <c r="Q184" s="17">
        <f t="shared" ref="Q184" si="166">SUM(D178:D184)</f>
        <v>253964</v>
      </c>
      <c r="R184" s="16"/>
      <c r="S184" s="60">
        <f t="shared" ref="S184" si="167"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ref="AA184" si="168">+AA183+W184</f>
        <v>196308</v>
      </c>
      <c r="AB184" s="33"/>
      <c r="AC184" s="46">
        <f t="shared" ref="AC184" si="169">+AA184/H184</f>
        <v>2.9658485055557914E-2</v>
      </c>
      <c r="AD184" s="33"/>
      <c r="AE184" s="33">
        <f t="shared" ref="AE184" si="170">+AA184/BW184</f>
        <v>1121.76</v>
      </c>
      <c r="AF184" s="50"/>
      <c r="AG184" s="33">
        <f t="shared" ref="AG184" si="171">SUM(W178:W184)</f>
        <v>5249</v>
      </c>
      <c r="AH184" s="33">
        <f t="shared" ref="AH184" si="172">SUM(D155:D261)</f>
        <v>412088482.35152841</v>
      </c>
      <c r="AI184" s="231">
        <f t="shared" ref="AI184" si="173">+(AG184-AG177)/AG177</f>
        <v>-0.16788205453392518</v>
      </c>
      <c r="AJ184" s="50"/>
      <c r="AK184" s="10"/>
      <c r="AL184" s="23">
        <f t="shared" ref="AL184" si="174">+AP184-AP183</f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ref="AR184" si="175">+AL184/AP183</f>
        <v>8.8050347170311703E-3</v>
      </c>
      <c r="AS184" s="25"/>
      <c r="AT184" s="25"/>
      <c r="AU184" s="24"/>
      <c r="AV184" s="341">
        <f t="shared" ref="AV184" si="176">+AP184/H184</f>
        <v>0.58618974099966625</v>
      </c>
      <c r="AW184" s="341"/>
      <c r="AX184" s="24">
        <f t="shared" ref="AX184" si="177">+AP184/BW184</f>
        <v>22171.200000000001</v>
      </c>
      <c r="AY184" s="351"/>
      <c r="AZ184" s="10"/>
      <c r="BA184" s="66">
        <f t="shared" ref="BA184" si="178">+BC184-BC183</f>
        <v>701717</v>
      </c>
      <c r="BB184" s="67"/>
      <c r="BC184" s="67">
        <v>89984789</v>
      </c>
      <c r="BD184" s="67"/>
      <c r="BE184" s="67">
        <f t="shared" ref="BE184" si="179">+D184</f>
        <v>38811</v>
      </c>
      <c r="BF184" s="67"/>
      <c r="BG184" s="156">
        <f t="shared" ref="BG184" si="180">+BE184/BA184</f>
        <v>5.5308621566813973E-2</v>
      </c>
      <c r="BH184" s="67"/>
      <c r="BI184" s="183"/>
      <c r="BJ184" s="67"/>
      <c r="BK184" s="67">
        <f t="shared" ref="BK184" si="181">SUM(BA178:BA184)</f>
        <v>5103260</v>
      </c>
      <c r="BL184" s="67"/>
      <c r="BM184" s="156">
        <f t="shared" ref="BM184" si="182">+Q184/BK184</f>
        <v>4.9765052143139872E-2</v>
      </c>
      <c r="BN184" s="66">
        <f t="shared" ref="BN184" si="183">+BC184/BW184</f>
        <v>514198.79428571428</v>
      </c>
      <c r="BO184" s="67"/>
      <c r="BP184" s="67">
        <f t="shared" ref="BP184" si="184">+BP183+BE184</f>
        <v>6301641</v>
      </c>
      <c r="BQ184" s="67"/>
      <c r="BR184" s="478">
        <f t="shared" ref="BR184" si="185">+BP184/BC184</f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ref="H185" si="186">+H184+D185</f>
        <v>6665549</v>
      </c>
      <c r="I185" s="16"/>
      <c r="J185" s="479">
        <f t="shared" ref="J185" si="187">+D185/H184</f>
        <v>7.0403926665698734E-3</v>
      </c>
      <c r="K185" s="16"/>
      <c r="L185" s="16"/>
      <c r="M185" s="16"/>
      <c r="N185" s="16">
        <f t="shared" ref="N185" si="188">SUM(D179:D185)</f>
        <v>247715</v>
      </c>
      <c r="O185" s="16">
        <f t="shared" ref="O185" si="189">+H185/BW185</f>
        <v>37872.4375</v>
      </c>
      <c r="P185" s="41"/>
      <c r="Q185" s="17">
        <f t="shared" ref="Q185" si="190">SUM(D179:D185)</f>
        <v>247715</v>
      </c>
      <c r="R185" s="16"/>
      <c r="S185" s="60">
        <f t="shared" ref="S185" si="191"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ref="AA185" si="192">+AA184+W185</f>
        <v>197402</v>
      </c>
      <c r="AB185" s="33"/>
      <c r="AC185" s="46">
        <f t="shared" ref="AC185" si="193">+AA185/H185</f>
        <v>2.9615264999177111E-2</v>
      </c>
      <c r="AD185" s="33"/>
      <c r="AE185" s="33">
        <f t="shared" ref="AE185" si="194">+AA185/BW185</f>
        <v>1121.6022727272727</v>
      </c>
      <c r="AF185" s="50"/>
      <c r="AG185" s="33">
        <f t="shared" ref="AG185" si="195">SUM(W179:W185)</f>
        <v>5310</v>
      </c>
      <c r="AH185" s="33">
        <f t="shared" ref="AH185" si="196">SUM(D156:D262)</f>
        <v>412034137.35152841</v>
      </c>
      <c r="AI185" s="231">
        <f t="shared" ref="AI185" si="197">+(AG185-AG178)/AG178</f>
        <v>-0.14849262347658757</v>
      </c>
      <c r="AJ185" s="50"/>
      <c r="AK185" s="10"/>
      <c r="AL185" s="23">
        <f t="shared" ref="AL185" si="198">+AP185-AP184</f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ref="AR185" si="199">+AL185/AP184</f>
        <v>9.7944308704213442E-3</v>
      </c>
      <c r="AS185" s="25"/>
      <c r="AT185" s="25"/>
      <c r="AU185" s="24"/>
      <c r="AV185" s="341">
        <f t="shared" ref="AV185" si="200">+AP185/H185</f>
        <v>0.58779284347020777</v>
      </c>
      <c r="AW185" s="341"/>
      <c r="AX185" s="24">
        <f t="shared" ref="AX185" si="201">+AP185/BW185</f>
        <v>22261.147727272728</v>
      </c>
      <c r="AY185" s="351"/>
      <c r="AZ185" s="10"/>
      <c r="BA185" s="66">
        <f t="shared" ref="BA185" si="202">+BC185-BC184</f>
        <v>860917</v>
      </c>
      <c r="BB185" s="67"/>
      <c r="BC185" s="67">
        <v>90845706</v>
      </c>
      <c r="BD185" s="67"/>
      <c r="BE185" s="67">
        <f t="shared" ref="BE185" si="203">+D185</f>
        <v>46600</v>
      </c>
      <c r="BF185" s="67"/>
      <c r="BG185" s="156">
        <f t="shared" ref="BG185" si="204">+BE185/BA185</f>
        <v>5.412833060562168E-2</v>
      </c>
      <c r="BH185" s="67"/>
      <c r="BI185" s="183"/>
      <c r="BJ185" s="67"/>
      <c r="BK185" s="67">
        <f t="shared" ref="BK185" si="205">SUM(BA179:BA185)</f>
        <v>4949989</v>
      </c>
      <c r="BL185" s="67"/>
      <c r="BM185" s="156">
        <f t="shared" ref="BM185" si="206">+Q185/BK185</f>
        <v>5.0043545551313344E-2</v>
      </c>
      <c r="BN185" s="66">
        <f t="shared" ref="BN185" si="207">+BC185/BW185</f>
        <v>516168.78409090912</v>
      </c>
      <c r="BO185" s="67"/>
      <c r="BP185" s="67">
        <f t="shared" ref="BP185" si="208">+BP184+BE185</f>
        <v>6348241</v>
      </c>
      <c r="BQ185" s="67"/>
      <c r="BR185" s="478">
        <f t="shared" ref="BR185" si="209">+BP185/BC185</f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ref="H186" si="210">+H185+D186</f>
        <v>6704831</v>
      </c>
      <c r="I186" s="16"/>
      <c r="J186" s="479">
        <f t="shared" ref="J186" si="211">+D186/H185</f>
        <v>5.8932880097348319E-3</v>
      </c>
      <c r="K186" s="16"/>
      <c r="L186" s="16"/>
      <c r="M186" s="16"/>
      <c r="N186" s="16">
        <f t="shared" ref="N186" si="212">SUM(D180:D186)</f>
        <v>244905</v>
      </c>
      <c r="O186" s="16">
        <f t="shared" ref="O186" si="213">+H186/BW186</f>
        <v>37880.401129943501</v>
      </c>
      <c r="P186" s="41"/>
      <c r="Q186" s="17">
        <f t="shared" ref="Q186" si="214">SUM(D180:D186)</f>
        <v>244905</v>
      </c>
      <c r="R186" s="16"/>
      <c r="S186" s="60">
        <f t="shared" ref="S186" si="215"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ref="AA186" si="216">+AA185+W186</f>
        <v>198109</v>
      </c>
      <c r="AB186" s="33"/>
      <c r="AC186" s="46">
        <f t="shared" ref="AC186" si="217">+AA186/H186</f>
        <v>2.9547202606598138E-2</v>
      </c>
      <c r="AD186" s="33"/>
      <c r="AE186" s="33">
        <f t="shared" ref="AE186" si="218">+AA186/BW186</f>
        <v>1119.2598870056497</v>
      </c>
      <c r="AF186" s="50"/>
      <c r="AG186" s="33">
        <f t="shared" ref="AG186" si="219">SUM(W180:W186)</f>
        <v>5310</v>
      </c>
      <c r="AH186" s="33">
        <f t="shared" ref="AH186" si="220">SUM(D157:D263)</f>
        <v>411978773.35152841</v>
      </c>
      <c r="AI186" s="231">
        <f t="shared" ref="AI186" si="221">+(AG186-AG179)/AG179</f>
        <v>-0.11337451995324763</v>
      </c>
      <c r="AJ186" s="50"/>
      <c r="AK186" s="10"/>
      <c r="AL186" s="23">
        <f t="shared" ref="AL186" si="222">+AP186-AP185</f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ref="AR186" si="223">+AL186/AP185</f>
        <v>8.2675635955632033E-3</v>
      </c>
      <c r="AS186" s="25"/>
      <c r="AT186" s="25"/>
      <c r="AU186" s="24"/>
      <c r="AV186" s="341">
        <f t="shared" ref="AV186" si="224">+AP186/H186</f>
        <v>0.58918024928592527</v>
      </c>
      <c r="AW186" s="341"/>
      <c r="AX186" s="24">
        <f t="shared" ref="AX186" si="225">+AP186/BW186</f>
        <v>22318.384180790959</v>
      </c>
      <c r="AY186" s="351"/>
      <c r="AZ186" s="10"/>
      <c r="BA186" s="66">
        <f t="shared" ref="BA186" si="226">+BC186-BC185</f>
        <v>857797</v>
      </c>
      <c r="BB186" s="67"/>
      <c r="BC186" s="67">
        <v>91703503</v>
      </c>
      <c r="BD186" s="67"/>
      <c r="BE186" s="67">
        <f t="shared" ref="BE186" si="227">+D186</f>
        <v>39282</v>
      </c>
      <c r="BF186" s="67"/>
      <c r="BG186" s="156">
        <f t="shared" ref="BG186" si="228">+BE186/BA186</f>
        <v>4.5794051506358728E-2</v>
      </c>
      <c r="BH186" s="67"/>
      <c r="BI186" s="183"/>
      <c r="BJ186" s="67"/>
      <c r="BK186" s="67">
        <f t="shared" ref="BK186" si="229">SUM(BA180:BA186)</f>
        <v>4944301</v>
      </c>
      <c r="BL186" s="67"/>
      <c r="BM186" s="156">
        <f t="shared" ref="BM186" si="230">+Q186/BK186</f>
        <v>4.9532785321929229E-2</v>
      </c>
      <c r="BN186" s="66">
        <f t="shared" ref="BN186" si="231">+BC186/BW186</f>
        <v>518098.88700564974</v>
      </c>
      <c r="BO186" s="67"/>
      <c r="BP186" s="67">
        <f t="shared" ref="BP186" si="232">+BP185+BE186</f>
        <v>6387523</v>
      </c>
      <c r="BQ186" s="67"/>
      <c r="BR186" s="478">
        <f t="shared" ref="BR186" si="233">+BP186/BC186</f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ref="H187" si="234">+H186+D187</f>
        <v>6736688</v>
      </c>
      <c r="I187" s="16"/>
      <c r="J187" s="479">
        <f t="shared" ref="J187" si="235">+D187/H186</f>
        <v>4.7513501831738933E-3</v>
      </c>
      <c r="K187" s="16"/>
      <c r="L187" s="16"/>
      <c r="M187" s="16"/>
      <c r="N187" s="16">
        <f t="shared" ref="N187" si="236">SUM(D181:D187)</f>
        <v>245652</v>
      </c>
      <c r="O187" s="16">
        <f t="shared" ref="O187" si="237">+H187/BW187</f>
        <v>37846.561797752809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ref="AA187" si="238">+AA186+W187</f>
        <v>198501</v>
      </c>
      <c r="AB187" s="33"/>
      <c r="AC187" s="46">
        <f t="shared" ref="AC187" si="239">+AA187/H187</f>
        <v>2.9465666214614661E-2</v>
      </c>
      <c r="AD187" s="33"/>
      <c r="AE187" s="33">
        <f t="shared" ref="AE187" si="240">+AA187/BW187</f>
        <v>1115.1741573033707</v>
      </c>
      <c r="AF187" s="50"/>
      <c r="AG187" s="33">
        <f t="shared" ref="AG187" si="241">SUM(W181:W187)</f>
        <v>5272</v>
      </c>
      <c r="AH187" s="33">
        <f t="shared" ref="AH187" si="242">SUM(D158:D264)</f>
        <v>411918173.35152841</v>
      </c>
      <c r="AI187" s="231">
        <f t="shared" ref="AI187" si="243">+(AG187-AG180)/AG180</f>
        <v>-0.12859504132231406</v>
      </c>
      <c r="AJ187" s="50"/>
      <c r="AK187" s="10"/>
      <c r="AL187" s="23">
        <f t="shared" ref="AL187" si="244">+AP187-AP186</f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ref="AR187" si="245">+AL187/AP186</f>
        <v>6.2260243006069839E-3</v>
      </c>
      <c r="AS187" s="25"/>
      <c r="AT187" s="25"/>
      <c r="AU187" s="24"/>
      <c r="AV187" s="341">
        <f t="shared" ref="AV187" si="246">+AP187/H187</f>
        <v>0.59004498946663408</v>
      </c>
      <c r="AW187" s="341"/>
      <c r="AX187" s="24">
        <f t="shared" ref="AX187" si="247">+AP187/BW187</f>
        <v>22331.174157303372</v>
      </c>
      <c r="AY187" s="351"/>
      <c r="AZ187" s="391"/>
      <c r="BA187" s="66">
        <f t="shared" ref="BA187" si="248">+BC187-BC186</f>
        <v>699997</v>
      </c>
      <c r="BB187" s="67"/>
      <c r="BC187" s="67">
        <v>92403500</v>
      </c>
      <c r="BD187" s="67"/>
      <c r="BE187" s="67">
        <f t="shared" ref="BE187" si="249">+D187</f>
        <v>31857</v>
      </c>
      <c r="BF187" s="67"/>
      <c r="BG187" s="156">
        <f t="shared" ref="BG187" si="250">+BE187/BA187</f>
        <v>4.5510195043693046E-2</v>
      </c>
      <c r="BH187" s="67"/>
      <c r="BI187" s="183"/>
      <c r="BJ187" s="67"/>
      <c r="BK187" s="67">
        <f t="shared" ref="BK187" si="251">SUM(BA181:BA187)</f>
        <v>4928581</v>
      </c>
      <c r="BL187" s="67"/>
      <c r="BM187" s="156">
        <f t="shared" ref="BM187" si="252">+Q187/BK187</f>
        <v>0</v>
      </c>
      <c r="BN187" s="66">
        <f t="shared" ref="BN187" si="253">+BC187/BW187</f>
        <v>519120.78651685396</v>
      </c>
      <c r="BO187" s="67"/>
      <c r="BP187" s="67">
        <f t="shared" ref="BP187" si="254">+BP186+BE187</f>
        <v>6419380</v>
      </c>
      <c r="BQ187" s="67"/>
      <c r="BR187" s="478">
        <f t="shared" ref="BR187" si="255">+BP187/BC187</f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207" si="256">1+B187</f>
        <v>44088</v>
      </c>
      <c r="C188" s="61"/>
      <c r="D188" s="17">
        <v>38072</v>
      </c>
      <c r="E188" s="16"/>
      <c r="F188" s="16"/>
      <c r="G188" s="16"/>
      <c r="H188" s="16">
        <f t="shared" ref="H188" si="257">+H187+D188</f>
        <v>6774760</v>
      </c>
      <c r="I188" s="16"/>
      <c r="J188" s="479">
        <f t="shared" ref="J188" si="258">+D188/H187</f>
        <v>5.6514417767306426E-3</v>
      </c>
      <c r="K188" s="16"/>
      <c r="L188" s="16"/>
      <c r="M188" s="16"/>
      <c r="N188" s="16">
        <f t="shared" ref="N188" si="259">SUM(D182:D188)</f>
        <v>258304</v>
      </c>
      <c r="O188" s="16">
        <f t="shared" ref="O188" si="260">+H188/BW188</f>
        <v>37847.821229050278</v>
      </c>
      <c r="P188" s="41"/>
      <c r="Q188" s="453"/>
      <c r="R188" s="16"/>
      <c r="S188" s="60"/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ref="AA188" si="261">+AA187+W188</f>
        <v>198981</v>
      </c>
      <c r="AB188" s="33"/>
      <c r="AC188" s="46">
        <f t="shared" ref="AC188" si="262">+AA188/H188</f>
        <v>2.9370929745112743E-2</v>
      </c>
      <c r="AD188" s="33"/>
      <c r="AE188" s="33">
        <f t="shared" ref="AE188" si="263">+AA188/BW188</f>
        <v>1111.6256983240223</v>
      </c>
      <c r="AF188" s="50"/>
      <c r="AG188" s="33">
        <f t="shared" ref="AG188" si="264">SUM(W182:W188)</f>
        <v>5466</v>
      </c>
      <c r="AH188" s="33">
        <f t="shared" ref="AH188" si="265">SUM(D159:D265)</f>
        <v>411864650.35152841</v>
      </c>
      <c r="AI188" s="231">
        <f t="shared" ref="AI188" si="266">+(AG188-AG181)/AG181</f>
        <v>-6.1469780219780217E-2</v>
      </c>
      <c r="AJ188" s="50"/>
      <c r="AK188" s="10"/>
      <c r="AL188" s="23">
        <f t="shared" ref="AL188" si="267">+AP188-AP187</f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ref="AR188" si="268">+AL188/AP187</f>
        <v>1.3302560611469481E-2</v>
      </c>
      <c r="AS188" s="25"/>
      <c r="AT188" s="25"/>
      <c r="AU188" s="24"/>
      <c r="AV188" s="341">
        <f t="shared" ref="AV188" si="269">+AP188/H188</f>
        <v>0.59453412371803582</v>
      </c>
      <c r="AW188" s="341"/>
      <c r="AX188" s="24">
        <f t="shared" ref="AX188" si="270">+AP188/BW188</f>
        <v>22501.821229050278</v>
      </c>
      <c r="AY188" s="351"/>
      <c r="AZ188" s="10"/>
      <c r="BA188" s="66">
        <f t="shared" ref="BA188" si="271">+BC188-BC187</f>
        <v>486822</v>
      </c>
      <c r="BB188" s="67"/>
      <c r="BC188" s="67">
        <v>92890322</v>
      </c>
      <c r="BD188" s="67"/>
      <c r="BE188" s="67">
        <f t="shared" ref="BE188" si="272">+D188</f>
        <v>38072</v>
      </c>
      <c r="BF188" s="67"/>
      <c r="BG188" s="156">
        <f t="shared" ref="BG188" si="273">+BE188/BA188</f>
        <v>7.8205175608333233E-2</v>
      </c>
      <c r="BH188" s="67"/>
      <c r="BI188" s="183"/>
      <c r="BJ188" s="67"/>
      <c r="BK188" s="67">
        <f t="shared" ref="BK188" si="274">SUM(BA182:BA188)</f>
        <v>4822472</v>
      </c>
      <c r="BL188" s="67"/>
      <c r="BM188" s="156">
        <f t="shared" ref="BM188" si="275">+Q188/BK188</f>
        <v>0</v>
      </c>
      <c r="BN188" s="66">
        <f t="shared" ref="BN188" si="276">+BC188/BW188</f>
        <v>518940.34636871511</v>
      </c>
      <c r="BO188" s="67"/>
      <c r="BP188" s="67">
        <f t="shared" ref="BP188" si="277">+BP187+BE188</f>
        <v>6457452</v>
      </c>
      <c r="BQ188" s="67"/>
      <c r="BR188" s="478">
        <f t="shared" ref="BR188" si="278">+BP188/BC188</f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256"/>
        <v>44089</v>
      </c>
      <c r="C189" s="61"/>
      <c r="D189" s="17">
        <v>36447</v>
      </c>
      <c r="E189" s="16"/>
      <c r="F189" s="16"/>
      <c r="G189" s="16"/>
      <c r="H189" s="16">
        <f t="shared" ref="H189" si="279">+H188+D189</f>
        <v>6811207</v>
      </c>
      <c r="I189" s="16"/>
      <c r="J189" s="479">
        <f t="shared" ref="J189" si="280">+D189/H188</f>
        <v>5.3798215730151326E-3</v>
      </c>
      <c r="K189" s="16"/>
      <c r="L189" s="16"/>
      <c r="M189" s="16"/>
      <c r="N189" s="16">
        <f t="shared" ref="N189" si="281">SUM(D183:D189)</f>
        <v>266312</v>
      </c>
      <c r="O189" s="16">
        <f t="shared" ref="O189" si="282">+H189/BW189</f>
        <v>37840.038888888892</v>
      </c>
      <c r="P189" s="41"/>
      <c r="Q189" s="453"/>
      <c r="R189" s="16"/>
      <c r="S189" s="60"/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ref="AA189" si="283">+AA188+W189</f>
        <v>200178</v>
      </c>
      <c r="AB189" s="33"/>
      <c r="AC189" s="46">
        <f t="shared" ref="AC189" si="284">+AA189/H189</f>
        <v>2.9389504679567073E-2</v>
      </c>
      <c r="AD189" s="33"/>
      <c r="AE189" s="33">
        <f t="shared" ref="AE189" si="285">+AA189/BW189</f>
        <v>1112.0999999999999</v>
      </c>
      <c r="AF189" s="50"/>
      <c r="AG189" s="33">
        <f t="shared" ref="AG189" si="286">SUM(W183:W189)</f>
        <v>6167</v>
      </c>
      <c r="AH189" s="33">
        <f t="shared" ref="AH189" si="287">SUM(D160:D266)</f>
        <v>411827807.35152841</v>
      </c>
      <c r="AI189" s="231">
        <f t="shared" ref="AI189" si="288">+(AG189-AG182)/AG182</f>
        <v>0.1960822342901474</v>
      </c>
      <c r="AJ189" s="50"/>
      <c r="AK189" s="10"/>
      <c r="AL189" s="23">
        <f t="shared" ref="AL189" si="289">+AP189-AP188</f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ref="AR189" si="290">+AL189/AP188</f>
        <v>9.9954665370351158E-3</v>
      </c>
      <c r="AS189" s="25"/>
      <c r="AT189" s="25"/>
      <c r="AU189" s="24"/>
      <c r="AV189" s="341">
        <f t="shared" ref="AV189" si="291">+AP189/H189</f>
        <v>0.5972635980671267</v>
      </c>
      <c r="AW189" s="341"/>
      <c r="AX189" s="24">
        <f t="shared" ref="AX189" si="292">+AP189/BW189</f>
        <v>22600.477777777778</v>
      </c>
      <c r="AY189" s="351"/>
      <c r="AZ189" s="10"/>
      <c r="BA189" s="66">
        <f t="shared" ref="BA189" si="293">+BC189-BC188</f>
        <v>741636</v>
      </c>
      <c r="BB189" s="67"/>
      <c r="BC189" s="67">
        <v>93631958</v>
      </c>
      <c r="BD189" s="67"/>
      <c r="BE189" s="67">
        <f t="shared" ref="BE189" si="294">+D189</f>
        <v>36447</v>
      </c>
      <c r="BF189" s="67"/>
      <c r="BG189" s="156">
        <f t="shared" ref="BG189" si="295">+BE189/BA189</f>
        <v>4.9144054495736451E-2</v>
      </c>
      <c r="BH189" s="67"/>
      <c r="BI189" s="183"/>
      <c r="BJ189" s="67"/>
      <c r="BK189" s="67">
        <f t="shared" ref="BK189" si="296">SUM(BA183:BA189)</f>
        <v>4974984</v>
      </c>
      <c r="BL189" s="67"/>
      <c r="BM189" s="156">
        <f t="shared" ref="BM189" si="297">+Q189/BK189</f>
        <v>0</v>
      </c>
      <c r="BN189" s="66">
        <f t="shared" ref="BN189" si="298">+BC189/BW189</f>
        <v>520177.54444444447</v>
      </c>
      <c r="BO189" s="67"/>
      <c r="BP189" s="67">
        <f t="shared" ref="BP189" si="299">+BP188+BE189</f>
        <v>6493899</v>
      </c>
      <c r="BQ189" s="67"/>
      <c r="BR189" s="478">
        <f t="shared" ref="BR189" si="300">+BP189/BC189</f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256"/>
        <v>44090</v>
      </c>
      <c r="C190" s="61"/>
      <c r="D190" s="17">
        <v>40154</v>
      </c>
      <c r="E190" s="16"/>
      <c r="F190" s="16"/>
      <c r="G190" s="16"/>
      <c r="H190" s="16">
        <f t="shared" ref="H190" si="301">+H189+D190</f>
        <v>6851361</v>
      </c>
      <c r="I190" s="16"/>
      <c r="J190" s="479">
        <f t="shared" ref="J190" si="302">+D190/H189</f>
        <v>5.895284051710659E-3</v>
      </c>
      <c r="K190" s="16"/>
      <c r="L190" s="16"/>
      <c r="M190" s="16"/>
      <c r="N190" s="16">
        <f t="shared" ref="N190" si="303">SUM(D184:D190)</f>
        <v>271223</v>
      </c>
      <c r="O190" s="16">
        <f t="shared" ref="O190" si="304">+H190/BW190</f>
        <v>37852.823204419888</v>
      </c>
      <c r="P190" s="41"/>
      <c r="Q190" s="453"/>
      <c r="R190" s="16"/>
      <c r="S190" s="60"/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ref="AA190" si="305">+AA189+W190</f>
        <v>201329</v>
      </c>
      <c r="AB190" s="33"/>
      <c r="AC190" s="46">
        <f t="shared" ref="AC190" si="306">+AA190/H190</f>
        <v>2.9385256447587566E-2</v>
      </c>
      <c r="AD190" s="33"/>
      <c r="AE190" s="33">
        <f t="shared" ref="AE190" si="307">+AA190/BW190</f>
        <v>1112.3149171270718</v>
      </c>
      <c r="AF190" s="50"/>
      <c r="AG190" s="33">
        <f t="shared" ref="AG190" si="308">SUM(W184:W190)</f>
        <v>6110</v>
      </c>
      <c r="AH190" s="33">
        <f t="shared" ref="AH190" si="309">SUM(D161:D267)</f>
        <v>411787195.35152841</v>
      </c>
      <c r="AI190" s="231">
        <f t="shared" ref="AI190" si="310">+(AG190-AG183)/AG183</f>
        <v>0.15851346226772847</v>
      </c>
      <c r="AJ190" s="50"/>
      <c r="AK190" s="10"/>
      <c r="AL190" s="23">
        <f t="shared" ref="AL190" si="311">+AP190-AP189</f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ref="AR190" si="312">+AL190/AP189</f>
        <v>1.2554306865685731E-2</v>
      </c>
      <c r="AS190" s="25"/>
      <c r="AT190" s="25"/>
      <c r="AU190" s="24"/>
      <c r="AV190" s="341">
        <f t="shared" ref="AV190" si="313">+AP190/H190</f>
        <v>0.60121748073120074</v>
      </c>
      <c r="AW190" s="341"/>
      <c r="AX190" s="24">
        <f t="shared" ref="AX190" si="314">+AP190/BW190</f>
        <v>22757.779005524862</v>
      </c>
      <c r="AY190" s="351"/>
      <c r="AZ190" s="10"/>
      <c r="BA190" s="66">
        <f t="shared" ref="BA190" si="315">+BC190-BC189</f>
        <v>737109</v>
      </c>
      <c r="BB190" s="67"/>
      <c r="BC190" s="67">
        <v>94369067</v>
      </c>
      <c r="BD190" s="67"/>
      <c r="BE190" s="67">
        <f t="shared" ref="BE190" si="316">+D190</f>
        <v>40154</v>
      </c>
      <c r="BF190" s="67"/>
      <c r="BG190" s="156">
        <f t="shared" ref="BG190" si="317">+BE190/BA190</f>
        <v>5.4474982668777615E-2</v>
      </c>
      <c r="BH190" s="67"/>
      <c r="BI190" s="183"/>
      <c r="BJ190" s="67"/>
      <c r="BK190" s="67">
        <f t="shared" ref="BK190" si="318">SUM(BA184:BA190)</f>
        <v>5085995</v>
      </c>
      <c r="BL190" s="67"/>
      <c r="BM190" s="156">
        <f t="shared" ref="BM190" si="319">+Q190/BK190</f>
        <v>0</v>
      </c>
      <c r="BN190" s="66">
        <f t="shared" ref="BN190" si="320">+BC190/BW190</f>
        <v>521376.06077348068</v>
      </c>
      <c r="BO190" s="67"/>
      <c r="BP190" s="67">
        <f t="shared" ref="BP190" si="321">+BP189+BE190</f>
        <v>6534053</v>
      </c>
      <c r="BQ190" s="67"/>
      <c r="BR190" s="478">
        <f t="shared" ref="BR190" si="322">+BP190/BC190</f>
        <v>6.9239351492157916E-2</v>
      </c>
      <c r="BS190" s="67"/>
      <c r="BT190" s="86"/>
      <c r="BU190" s="183"/>
      <c r="BV190" s="1"/>
      <c r="BW190" s="61">
        <f t="shared" ref="BW190:BW207" si="323">+BW189+1</f>
        <v>181</v>
      </c>
    </row>
    <row r="191" spans="2:75" x14ac:dyDescent="0.3">
      <c r="B191" s="171">
        <f t="shared" si="256"/>
        <v>44091</v>
      </c>
      <c r="C191" s="61"/>
      <c r="D191" s="17">
        <v>46295</v>
      </c>
      <c r="E191" s="16"/>
      <c r="F191" s="16"/>
      <c r="G191" s="16"/>
      <c r="H191" s="16">
        <f t="shared" ref="H191" si="324">+H190+D191</f>
        <v>6897656</v>
      </c>
      <c r="I191" s="16"/>
      <c r="J191" s="479">
        <f t="shared" ref="J191" si="325">+D191/H190</f>
        <v>6.7570516281363659E-3</v>
      </c>
      <c r="K191" s="16"/>
      <c r="L191" s="16"/>
      <c r="M191" s="16"/>
      <c r="N191" s="16">
        <f t="shared" ref="N191" si="326">SUM(D185:D191)</f>
        <v>278707</v>
      </c>
      <c r="O191" s="16">
        <f t="shared" ref="O191" si="327">+H191/BW191</f>
        <v>37899.208791208788</v>
      </c>
      <c r="P191" s="41"/>
      <c r="Q191" s="453"/>
      <c r="R191" s="16"/>
      <c r="S191" s="60"/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ref="AA191" si="328">+AA190+W191</f>
        <v>202208</v>
      </c>
      <c r="AB191" s="33"/>
      <c r="AC191" s="46">
        <f t="shared" ref="AC191" si="329">+AA191/H191</f>
        <v>2.9315466007582867E-2</v>
      </c>
      <c r="AD191" s="33"/>
      <c r="AE191" s="33">
        <f t="shared" ref="AE191" si="330">+AA191/BW191</f>
        <v>1111.032967032967</v>
      </c>
      <c r="AF191" s="50"/>
      <c r="AG191" s="33">
        <f t="shared" ref="AG191" si="331">SUM(W185:W191)</f>
        <v>5900</v>
      </c>
      <c r="AH191" s="33">
        <f t="shared" ref="AH191" si="332">SUM(D162:D268)</f>
        <v>411743196.35152841</v>
      </c>
      <c r="AI191" s="231">
        <f t="shared" ref="AI191" si="333">+(AG191-AG184)/AG184</f>
        <v>0.12402362354734235</v>
      </c>
      <c r="AJ191" s="50"/>
      <c r="AK191" s="10"/>
      <c r="AL191" s="23">
        <f t="shared" ref="AL191" si="334">+AP191-AP190</f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ref="AR191" si="335">+AL191/AP190</f>
        <v>8.7107607914044573E-3</v>
      </c>
      <c r="AS191" s="25"/>
      <c r="AT191" s="25"/>
      <c r="AU191" s="24"/>
      <c r="AV191" s="341">
        <f t="shared" ref="AV191" si="336">+AP191/H191</f>
        <v>0.60238420124169723</v>
      </c>
      <c r="AW191" s="341"/>
      <c r="AX191" s="24">
        <f t="shared" ref="AX191" si="337">+AP191/BW191</f>
        <v>22829.884615384617</v>
      </c>
      <c r="AY191" s="351"/>
      <c r="AZ191" s="10"/>
      <c r="BA191" s="66">
        <f t="shared" ref="BA191" si="338">+BC191-BC190</f>
        <v>865955</v>
      </c>
      <c r="BB191" s="67"/>
      <c r="BC191" s="67">
        <v>95235022</v>
      </c>
      <c r="BD191" s="67"/>
      <c r="BE191" s="67">
        <f t="shared" ref="BE191" si="339">+D191</f>
        <v>46295</v>
      </c>
      <c r="BF191" s="67"/>
      <c r="BG191" s="156">
        <f t="shared" ref="BG191" si="340">+BE191/BA191</f>
        <v>5.3461207568522615E-2</v>
      </c>
      <c r="BH191" s="67"/>
      <c r="BI191" s="183"/>
      <c r="BJ191" s="67"/>
      <c r="BK191" s="67">
        <f t="shared" ref="BK191" si="341">SUM(BA185:BA191)</f>
        <v>5250233</v>
      </c>
      <c r="BL191" s="67"/>
      <c r="BM191" s="156">
        <f t="shared" ref="BM191" si="342">+Q191/BK191</f>
        <v>0</v>
      </c>
      <c r="BN191" s="66">
        <f t="shared" ref="BN191" si="343">+BC191/BW191</f>
        <v>523269.35164835164</v>
      </c>
      <c r="BO191" s="67"/>
      <c r="BP191" s="67">
        <f t="shared" ref="BP191" si="344">+BP190+BE191</f>
        <v>6580348</v>
      </c>
      <c r="BQ191" s="67"/>
      <c r="BR191" s="478">
        <f t="shared" ref="BR191" si="345">+BP191/BC191</f>
        <v>6.9095883655069662E-2</v>
      </c>
      <c r="BS191" s="67"/>
      <c r="BT191" s="86"/>
      <c r="BU191" s="183"/>
      <c r="BV191" s="1"/>
      <c r="BW191" s="61">
        <f t="shared" si="323"/>
        <v>182</v>
      </c>
    </row>
    <row r="192" spans="2:75" x14ac:dyDescent="0.3">
      <c r="B192" s="171">
        <f t="shared" si="256"/>
        <v>44092</v>
      </c>
      <c r="C192" s="61"/>
      <c r="D192" s="17">
        <v>51345</v>
      </c>
      <c r="E192" s="16"/>
      <c r="F192" s="16"/>
      <c r="G192" s="16"/>
      <c r="H192" s="16">
        <f t="shared" ref="H192" si="346">+H191+D192</f>
        <v>6949001</v>
      </c>
      <c r="I192" s="16"/>
      <c r="J192" s="479">
        <f t="shared" ref="J192" si="347">+D192/H191</f>
        <v>7.4438330934450776E-3</v>
      </c>
      <c r="K192" s="16"/>
      <c r="L192" s="16"/>
      <c r="M192" s="16"/>
      <c r="N192" s="16">
        <f t="shared" ref="N192" si="348">SUM(D186:D192)</f>
        <v>283452</v>
      </c>
      <c r="O192" s="16">
        <f t="shared" ref="O192" si="349">+H192/BW192</f>
        <v>37972.683060109288</v>
      </c>
      <c r="P192" s="41"/>
      <c r="Q192" s="453"/>
      <c r="R192" s="16"/>
      <c r="S192" s="60"/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ref="AA192" si="350">+AA191+W192</f>
        <v>203166</v>
      </c>
      <c r="AB192" s="33"/>
      <c r="AC192" s="46">
        <f t="shared" ref="AC192" si="351">+AA192/H192</f>
        <v>2.923672050126342E-2</v>
      </c>
      <c r="AD192" s="33"/>
      <c r="AE192" s="33">
        <f t="shared" ref="AE192" si="352">+AA192/BW192</f>
        <v>1110.1967213114754</v>
      </c>
      <c r="AF192" s="50"/>
      <c r="AG192" s="33">
        <f t="shared" ref="AG192" si="353">SUM(W186:W192)</f>
        <v>5764</v>
      </c>
      <c r="AH192" s="33">
        <f t="shared" ref="AH192" si="354">SUM(D163:D269)</f>
        <v>411698223.35152841</v>
      </c>
      <c r="AI192" s="231">
        <f t="shared" ref="AI192" si="355">+(AG192-AG185)/AG185</f>
        <v>8.5499058380414314E-2</v>
      </c>
      <c r="AJ192" s="50"/>
      <c r="AK192" s="10"/>
      <c r="AL192" s="23">
        <f t="shared" ref="AL192" si="356">+AP192-AP191</f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ref="AR192" si="357">+AL192/AP191</f>
        <v>8.8699528452079509E-3</v>
      </c>
      <c r="AS192" s="25"/>
      <c r="AT192" s="25"/>
      <c r="AU192" s="24"/>
      <c r="AV192" s="341">
        <f t="shared" ref="AV192" si="358">+AP192/H192</f>
        <v>0.60323692571061649</v>
      </c>
      <c r="AW192" s="341"/>
      <c r="AX192" s="24">
        <f t="shared" ref="AX192" si="359">+AP192/BW192</f>
        <v>22906.524590163935</v>
      </c>
      <c r="AY192" s="351"/>
      <c r="AZ192" s="10"/>
      <c r="BA192" s="66">
        <f t="shared" ref="BA192" si="360">+BC192-BC191</f>
        <v>988439</v>
      </c>
      <c r="BB192" s="67"/>
      <c r="BC192" s="67">
        <v>96223461</v>
      </c>
      <c r="BD192" s="67"/>
      <c r="BE192" s="67">
        <f t="shared" ref="BE192" si="361">+D192</f>
        <v>51345</v>
      </c>
      <c r="BF192" s="67"/>
      <c r="BG192" s="156">
        <f t="shared" ref="BG192" si="362">+BE192/BA192</f>
        <v>5.1945542415869871E-2</v>
      </c>
      <c r="BH192" s="67"/>
      <c r="BI192" s="183"/>
      <c r="BJ192" s="67"/>
      <c r="BK192" s="67">
        <f t="shared" ref="BK192" si="363">SUM(BA186:BA192)</f>
        <v>5377755</v>
      </c>
      <c r="BL192" s="67"/>
      <c r="BM192" s="156">
        <f t="shared" ref="BM192" si="364">+Q192/BK192</f>
        <v>0</v>
      </c>
      <c r="BN192" s="66">
        <f t="shared" ref="BN192" si="365">+BC192/BW192</f>
        <v>525811.26229508198</v>
      </c>
      <c r="BO192" s="67"/>
      <c r="BP192" s="67">
        <f t="shared" ref="BP192" si="366">+BP191+BE192</f>
        <v>6631693</v>
      </c>
      <c r="BQ192" s="67"/>
      <c r="BR192" s="478">
        <f t="shared" ref="BR192" si="367">+BP192/BC192</f>
        <v>6.8919709716115912E-2</v>
      </c>
      <c r="BS192" s="67"/>
      <c r="BT192" s="86"/>
      <c r="BU192" s="183"/>
      <c r="BV192" s="1"/>
      <c r="BW192" s="61">
        <f t="shared" si="323"/>
        <v>183</v>
      </c>
    </row>
    <row r="193" spans="2:75" x14ac:dyDescent="0.3">
      <c r="B193" s="171">
        <f t="shared" si="256"/>
        <v>44093</v>
      </c>
      <c r="C193" s="61"/>
      <c r="D193" s="17">
        <v>43613</v>
      </c>
      <c r="E193" s="16"/>
      <c r="F193" s="16"/>
      <c r="G193" s="16"/>
      <c r="H193" s="16">
        <f t="shared" ref="H193" si="368">+H192+D193</f>
        <v>6992614</v>
      </c>
      <c r="I193" s="16"/>
      <c r="J193" s="479">
        <f t="shared" ref="J193" si="369">+D193/H192</f>
        <v>6.2761539392496846E-3</v>
      </c>
      <c r="K193" s="16"/>
      <c r="L193" s="16"/>
      <c r="M193" s="16"/>
      <c r="N193" s="16">
        <f t="shared" ref="N193" si="370">SUM(D187:D193)</f>
        <v>287783</v>
      </c>
      <c r="O193" s="16">
        <f t="shared" ref="O193" si="371">+H193/BW193</f>
        <v>38003.336956521736</v>
      </c>
      <c r="P193" s="41"/>
      <c r="Q193" s="453"/>
      <c r="R193" s="16"/>
      <c r="S193" s="60"/>
      <c r="T193" s="16"/>
      <c r="U193" s="41"/>
      <c r="V193" s="10">
        <f t="shared" si="109"/>
        <v>85</v>
      </c>
      <c r="W193" s="34">
        <v>658</v>
      </c>
      <c r="X193" s="33"/>
      <c r="Y193" s="33"/>
      <c r="Z193" s="33"/>
      <c r="AA193" s="33">
        <f t="shared" ref="AA193" si="372">+AA192+W193</f>
        <v>203824</v>
      </c>
      <c r="AB193" s="33"/>
      <c r="AC193" s="46">
        <f t="shared" ref="AC193" si="373">+AA193/H193</f>
        <v>2.9148470085721877E-2</v>
      </c>
      <c r="AD193" s="33"/>
      <c r="AE193" s="33">
        <f t="shared" ref="AE193" si="374">+AA193/BW193</f>
        <v>1107.7391304347825</v>
      </c>
      <c r="AF193" s="50"/>
      <c r="AG193" s="33">
        <f t="shared" ref="AG193" si="375">SUM(W187:W193)</f>
        <v>5715</v>
      </c>
      <c r="AH193" s="33">
        <f t="shared" ref="AH193" si="376">SUM(D164:D270)</f>
        <v>411652866.35152841</v>
      </c>
      <c r="AI193" s="231">
        <f t="shared" ref="AI193" si="377">+(AG193-AG186)/AG186</f>
        <v>7.6271186440677971E-2</v>
      </c>
      <c r="AJ193" s="50"/>
      <c r="AK193" s="10"/>
      <c r="AL193" s="23">
        <f t="shared" ref="AL193" si="378">+AP193-AP192</f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ref="AR193" si="379">+AL193/AP192</f>
        <v>7.5858311302719013E-3</v>
      </c>
      <c r="AS193" s="25"/>
      <c r="AT193" s="25"/>
      <c r="AU193" s="24"/>
      <c r="AV193" s="341">
        <f t="shared" ref="AV193" si="380">+AP193/H193</f>
        <v>0.60402204383081926</v>
      </c>
      <c r="AW193" s="341"/>
      <c r="AX193" s="24">
        <f t="shared" ref="AX193" si="381">+AP193/BW193</f>
        <v>22954.853260869564</v>
      </c>
      <c r="AY193" s="351"/>
      <c r="AZ193" s="10"/>
      <c r="BA193" s="66">
        <f t="shared" ref="BA193" si="382">+BC193-BC192</f>
        <v>1086851</v>
      </c>
      <c r="BB193" s="67"/>
      <c r="BC193" s="67">
        <v>97310312</v>
      </c>
      <c r="BD193" s="67"/>
      <c r="BE193" s="67">
        <f t="shared" ref="BE193" si="383">+D193</f>
        <v>43613</v>
      </c>
      <c r="BF193" s="67"/>
      <c r="BG193" s="156">
        <f t="shared" ref="BG193" si="384">+BE193/BA193</f>
        <v>4.0127855612222832E-2</v>
      </c>
      <c r="BH193" s="67"/>
      <c r="BI193" s="183"/>
      <c r="BJ193" s="67"/>
      <c r="BK193" s="67">
        <f t="shared" ref="BK193" si="385">SUM(BA187:BA193)</f>
        <v>5606809</v>
      </c>
      <c r="BL193" s="67"/>
      <c r="BM193" s="156">
        <f t="shared" ref="BM193" si="386">+Q193/BK193</f>
        <v>0</v>
      </c>
      <c r="BN193" s="66">
        <f t="shared" ref="BN193" si="387">+BC193/BW193</f>
        <v>528860.39130434778</v>
      </c>
      <c r="BO193" s="67"/>
      <c r="BP193" s="67">
        <f t="shared" ref="BP193" si="388">+BP192+BE193</f>
        <v>6675306</v>
      </c>
      <c r="BQ193" s="67"/>
      <c r="BR193" s="478">
        <f t="shared" ref="BR193" si="389">+BP193/BC193</f>
        <v>6.8598135827578066E-2</v>
      </c>
      <c r="BS193" s="67"/>
      <c r="BT193" s="86"/>
      <c r="BU193" s="183"/>
      <c r="BV193" s="1"/>
      <c r="BW193" s="61">
        <f t="shared" si="323"/>
        <v>184</v>
      </c>
    </row>
    <row r="194" spans="2:75" x14ac:dyDescent="0.3">
      <c r="B194" s="390">
        <f t="shared" si="256"/>
        <v>44094</v>
      </c>
      <c r="C194" s="61"/>
      <c r="D194" s="17">
        <v>33386</v>
      </c>
      <c r="E194" s="16"/>
      <c r="F194" s="16"/>
      <c r="G194" s="16"/>
      <c r="H194" s="16">
        <f t="shared" ref="H194" si="390">+H193+D194</f>
        <v>7026000</v>
      </c>
      <c r="I194" s="16"/>
      <c r="J194" s="479">
        <f t="shared" ref="J194" si="391">+D194/H193</f>
        <v>4.7744663154579963E-3</v>
      </c>
      <c r="K194" s="16"/>
      <c r="L194" s="16"/>
      <c r="M194" s="16"/>
      <c r="N194" s="16">
        <f t="shared" ref="N194" si="392">SUM(D188:D194)</f>
        <v>289312</v>
      </c>
      <c r="O194" s="16">
        <f t="shared" ref="O194" si="393">+H194/BW194</f>
        <v>37978.37837837838</v>
      </c>
      <c r="P194" s="41"/>
      <c r="Q194" s="453"/>
      <c r="R194" s="16"/>
      <c r="S194" s="60"/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ref="AA194" si="394">+AA193+W194</f>
        <v>204118</v>
      </c>
      <c r="AB194" s="33"/>
      <c r="AC194" s="46">
        <f t="shared" ref="AC194" si="395">+AA194/H194</f>
        <v>2.9051807571875889E-2</v>
      </c>
      <c r="AD194" s="33"/>
      <c r="AE194" s="33">
        <f t="shared" ref="AE194" si="396">+AA194/BW194</f>
        <v>1103.3405405405406</v>
      </c>
      <c r="AF194" s="50"/>
      <c r="AG194" s="33">
        <f t="shared" ref="AG194" si="397">SUM(W188:W194)</f>
        <v>5617</v>
      </c>
      <c r="AH194" s="33">
        <f t="shared" ref="AH194" si="398">SUM(D165:D271)</f>
        <v>411602385.35152841</v>
      </c>
      <c r="AI194" s="231">
        <f t="shared" ref="AI194" si="399">+(AG194-AG187)/AG187</f>
        <v>6.5440060698027311E-2</v>
      </c>
      <c r="AJ194" s="50"/>
      <c r="AK194" s="10"/>
      <c r="AL194" s="23">
        <f t="shared" ref="AL194" si="400">+AP194-AP193</f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ref="AR194" si="401">+AL194/AP193</f>
        <v>6.2615819852437195E-3</v>
      </c>
      <c r="AS194" s="25"/>
      <c r="AT194" s="25"/>
      <c r="AU194" s="24"/>
      <c r="AV194" s="341">
        <f t="shared" ref="AV194" si="402">+AP194/H194</f>
        <v>0.60491602618844298</v>
      </c>
      <c r="AW194" s="341"/>
      <c r="AX194" s="24">
        <f t="shared" ref="AX194" si="403">+AP194/BW194</f>
        <v>22973.72972972973</v>
      </c>
      <c r="AY194" s="351"/>
      <c r="AZ194" s="391"/>
      <c r="BA194" s="66">
        <f t="shared" ref="BA194" si="404">+BC194-BC193</f>
        <v>856297</v>
      </c>
      <c r="BB194" s="67"/>
      <c r="BC194" s="67">
        <v>98166609</v>
      </c>
      <c r="BD194" s="67"/>
      <c r="BE194" s="67">
        <f t="shared" ref="BE194" si="405">+D194</f>
        <v>33386</v>
      </c>
      <c r="BF194" s="67"/>
      <c r="BG194" s="156">
        <f t="shared" ref="BG194" si="406">+BE194/BA194</f>
        <v>3.8988808789473743E-2</v>
      </c>
      <c r="BH194" s="67"/>
      <c r="BI194" s="183"/>
      <c r="BJ194" s="67"/>
      <c r="BK194" s="67">
        <f t="shared" ref="BK194" si="407">SUM(BA188:BA194)</f>
        <v>5763109</v>
      </c>
      <c r="BL194" s="67"/>
      <c r="BM194" s="156">
        <f t="shared" ref="BM194" si="408">+Q194/BK194</f>
        <v>0</v>
      </c>
      <c r="BN194" s="66">
        <f t="shared" ref="BN194" si="409">+BC194/BW194</f>
        <v>530630.31891891896</v>
      </c>
      <c r="BO194" s="67"/>
      <c r="BP194" s="67">
        <f t="shared" ref="BP194" si="410">+BP193+BE194</f>
        <v>6708692</v>
      </c>
      <c r="BQ194" s="67"/>
      <c r="BR194" s="478">
        <f t="shared" ref="BR194" si="411">+BP194/BC194</f>
        <v>6.8339856783684969E-2</v>
      </c>
      <c r="BS194" s="67"/>
      <c r="BT194" s="86"/>
      <c r="BU194" s="183"/>
      <c r="BV194" s="1"/>
      <c r="BW194" s="61">
        <f t="shared" si="323"/>
        <v>185</v>
      </c>
    </row>
    <row r="195" spans="2:75" x14ac:dyDescent="0.3">
      <c r="B195" s="171">
        <f t="shared" si="256"/>
        <v>44095</v>
      </c>
      <c r="C195" s="61"/>
      <c r="D195" s="17">
        <v>36804</v>
      </c>
      <c r="E195" s="16"/>
      <c r="F195" s="16"/>
      <c r="G195" s="16"/>
      <c r="H195" s="16">
        <f t="shared" ref="H195" si="412">+H194+D195</f>
        <v>7062804</v>
      </c>
      <c r="I195" s="16"/>
      <c r="J195" s="479">
        <f t="shared" ref="J195" si="413">+D195/H194</f>
        <v>5.2382578992314259E-3</v>
      </c>
      <c r="K195" s="16"/>
      <c r="L195" s="16"/>
      <c r="M195" s="16"/>
      <c r="N195" s="16">
        <f t="shared" ref="N195" si="414">SUM(D189:D195)</f>
        <v>288044</v>
      </c>
      <c r="O195" s="16">
        <f t="shared" ref="O195" si="415">+H195/BW195</f>
        <v>37972.06451612903</v>
      </c>
      <c r="P195" s="41"/>
      <c r="Q195" s="453"/>
      <c r="R195" s="16"/>
      <c r="S195" s="60"/>
      <c r="T195" s="16"/>
      <c r="U195" s="41"/>
      <c r="V195" s="10">
        <f t="shared" si="109"/>
        <v>87</v>
      </c>
      <c r="W195" s="34">
        <v>384</v>
      </c>
      <c r="X195" s="33"/>
      <c r="Y195" s="33"/>
      <c r="Z195" s="33"/>
      <c r="AA195" s="33">
        <f t="shared" ref="AA195" si="416">+AA194+W195</f>
        <v>204502</v>
      </c>
      <c r="AB195" s="33"/>
      <c r="AC195" s="46">
        <f t="shared" ref="AC195" si="417">+AA195/H195</f>
        <v>2.8954789061115104E-2</v>
      </c>
      <c r="AD195" s="33"/>
      <c r="AE195" s="33">
        <f t="shared" ref="AE195" si="418">+AA195/BW195</f>
        <v>1099.4731182795699</v>
      </c>
      <c r="AF195" s="50"/>
      <c r="AG195" s="33">
        <f t="shared" ref="AG195" si="419">SUM(W189:W195)</f>
        <v>5521</v>
      </c>
      <c r="AH195" s="33">
        <f t="shared" ref="AH195" si="420">SUM(D166:D272)</f>
        <v>411558556.35152841</v>
      </c>
      <c r="AI195" s="231">
        <f t="shared" ref="AI195" si="421">+(AG195-AG188)/AG188</f>
        <v>1.0062202707647273E-2</v>
      </c>
      <c r="AJ195" s="50"/>
      <c r="AK195" s="10"/>
      <c r="AL195" s="23">
        <f t="shared" ref="AL195" si="422">+AP195-AP194</f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ref="AR195" si="423">+AL195/AP194</f>
        <v>1.1619617236138104E-2</v>
      </c>
      <c r="AS195" s="25"/>
      <c r="AT195" s="25"/>
      <c r="AU195" s="24"/>
      <c r="AV195" s="341">
        <f t="shared" ref="AV195" si="424">+AP195/H195</f>
        <v>0.60875609743665549</v>
      </c>
      <c r="AW195" s="341"/>
      <c r="AX195" s="24">
        <f t="shared" ref="AX195" si="425">+AP195/BW195</f>
        <v>23115.725806451614</v>
      </c>
      <c r="AY195" s="351"/>
      <c r="AZ195" s="10"/>
      <c r="BA195" s="66">
        <f t="shared" ref="BA195" si="426">+BC195-BC194</f>
        <v>743166</v>
      </c>
      <c r="BB195" s="67"/>
      <c r="BC195" s="67">
        <v>98909775</v>
      </c>
      <c r="BD195" s="67"/>
      <c r="BE195" s="67">
        <f t="shared" ref="BE195" si="427">+D195</f>
        <v>36804</v>
      </c>
      <c r="BF195" s="67"/>
      <c r="BG195" s="156">
        <f t="shared" ref="BG195" si="428">+BE195/BA195</f>
        <v>4.9523255907832166E-2</v>
      </c>
      <c r="BH195" s="67"/>
      <c r="BI195" s="183"/>
      <c r="BJ195" s="67"/>
      <c r="BK195" s="67">
        <f t="shared" ref="BK195" si="429">SUM(BA189:BA195)</f>
        <v>6019453</v>
      </c>
      <c r="BL195" s="67"/>
      <c r="BM195" s="156">
        <f t="shared" ref="BM195" si="430">+Q195/BK195</f>
        <v>0</v>
      </c>
      <c r="BN195" s="66">
        <f t="shared" ref="BN195" si="431">+BC195/BW195</f>
        <v>531772.98387096776</v>
      </c>
      <c r="BO195" s="67"/>
      <c r="BP195" s="67">
        <f t="shared" ref="BP195" si="432">+BP194+BE195</f>
        <v>6745496</v>
      </c>
      <c r="BQ195" s="67"/>
      <c r="BR195" s="478">
        <f t="shared" ref="BR195" si="433">+BP195/BC195</f>
        <v>6.8198476844174405E-2</v>
      </c>
      <c r="BS195" s="67"/>
      <c r="BT195" s="86"/>
      <c r="BU195" s="183"/>
      <c r="BV195" s="1"/>
      <c r="BW195" s="61">
        <f t="shared" si="323"/>
        <v>186</v>
      </c>
    </row>
    <row r="196" spans="2:75" x14ac:dyDescent="0.3">
      <c r="B196" s="171">
        <f t="shared" si="256"/>
        <v>44096</v>
      </c>
      <c r="C196" s="61"/>
      <c r="D196" s="17">
        <v>35696</v>
      </c>
      <c r="E196" s="16"/>
      <c r="F196" s="16"/>
      <c r="G196" s="16"/>
      <c r="H196" s="16">
        <f t="shared" ref="H196" si="434">+H195+D196</f>
        <v>7098500</v>
      </c>
      <c r="I196" s="16"/>
      <c r="J196" s="479">
        <f t="shared" ref="J196" si="435">+D196/H195</f>
        <v>5.0540833357403097E-3</v>
      </c>
      <c r="K196" s="16"/>
      <c r="L196" s="16"/>
      <c r="M196" s="16"/>
      <c r="N196" s="16">
        <f t="shared" ref="N196" si="436">SUM(D190:D196)</f>
        <v>287293</v>
      </c>
      <c r="O196" s="16">
        <f t="shared" ref="O196" si="437">+H196/BW196</f>
        <v>37959.893048128339</v>
      </c>
      <c r="P196" s="41"/>
      <c r="Q196" s="453"/>
      <c r="R196" s="16"/>
      <c r="S196" s="60"/>
      <c r="T196" s="16"/>
      <c r="U196" s="41"/>
      <c r="V196" s="10">
        <f t="shared" si="109"/>
        <v>88</v>
      </c>
      <c r="W196" s="34">
        <v>979</v>
      </c>
      <c r="X196" s="33"/>
      <c r="Y196" s="33"/>
      <c r="Z196" s="33"/>
      <c r="AA196" s="33">
        <f t="shared" ref="AA196" si="438">+AA195+W196</f>
        <v>205481</v>
      </c>
      <c r="AB196" s="33"/>
      <c r="AC196" s="46">
        <f t="shared" ref="AC196" si="439">+AA196/H196</f>
        <v>2.8947101500316968E-2</v>
      </c>
      <c r="AD196" s="33"/>
      <c r="AE196" s="33">
        <f t="shared" ref="AE196" si="440">+AA196/BW196</f>
        <v>1098.8288770053475</v>
      </c>
      <c r="AF196" s="50"/>
      <c r="AG196" s="33">
        <f>SUM(W190:W196)</f>
        <v>5303</v>
      </c>
      <c r="AH196" s="33">
        <f t="shared" ref="AH196" si="441">SUM(D167:D273)</f>
        <v>411525838.35152841</v>
      </c>
      <c r="AI196" s="231">
        <f t="shared" ref="AI196" si="442">+(AG196-AG189)/AG189</f>
        <v>-0.14010053510621048</v>
      </c>
      <c r="AJ196" s="50"/>
      <c r="AK196" s="10"/>
      <c r="AL196" s="23">
        <f t="shared" ref="AL196" si="443">+AP196-AP195</f>
        <v>46585</v>
      </c>
      <c r="AM196" s="24"/>
      <c r="AN196" s="24"/>
      <c r="AO196" s="24">
        <v>178263</v>
      </c>
      <c r="AP196" s="24">
        <v>4346110</v>
      </c>
      <c r="AQ196" s="24"/>
      <c r="AR196" s="504">
        <f t="shared" ref="AR196" si="444">+AL196/AP195</f>
        <v>1.0834917810688389E-2</v>
      </c>
      <c r="AS196" s="25"/>
      <c r="AT196" s="25"/>
      <c r="AU196" s="24"/>
      <c r="AV196" s="341">
        <f t="shared" ref="AV196" si="445">+AP196/H196</f>
        <v>0.61225751919419591</v>
      </c>
      <c r="AW196" s="341"/>
      <c r="AX196" s="24">
        <f t="shared" ref="AX196" si="446">+AP196/BW196</f>
        <v>23241.229946524065</v>
      </c>
      <c r="AY196" s="351"/>
      <c r="AZ196" s="10"/>
      <c r="BA196" s="66">
        <f t="shared" ref="BA196" si="447">+BC196-BC195</f>
        <v>772198</v>
      </c>
      <c r="BB196" s="67"/>
      <c r="BC196" s="67">
        <v>99681973</v>
      </c>
      <c r="BD196" s="67"/>
      <c r="BE196" s="67">
        <f t="shared" ref="BE196" si="448">+D196</f>
        <v>35696</v>
      </c>
      <c r="BF196" s="67"/>
      <c r="BG196" s="156">
        <f t="shared" ref="BG196" si="449">+BE196/BA196</f>
        <v>4.6226485953084574E-2</v>
      </c>
      <c r="BH196" s="67"/>
      <c r="BI196" s="183"/>
      <c r="BJ196" s="67"/>
      <c r="BK196" s="67">
        <f t="shared" ref="BK196" si="450">SUM(BA190:BA196)</f>
        <v>6050015</v>
      </c>
      <c r="BL196" s="67"/>
      <c r="BM196" s="156">
        <f t="shared" ref="BM196" si="451">+Q196/BK196</f>
        <v>0</v>
      </c>
      <c r="BN196" s="66">
        <f t="shared" ref="BN196" si="452">+BC196/BW196</f>
        <v>533058.67914438504</v>
      </c>
      <c r="BO196" s="67"/>
      <c r="BP196" s="67">
        <f t="shared" ref="BP196" si="453">+BP195+BE196</f>
        <v>6781192</v>
      </c>
      <c r="BQ196" s="67"/>
      <c r="BR196" s="478">
        <f t="shared" ref="BR196" si="454">+BP196/BC196</f>
        <v>6.8028268260701463E-2</v>
      </c>
      <c r="BS196" s="67"/>
      <c r="BT196" s="86"/>
      <c r="BU196" s="183"/>
      <c r="BV196" s="1"/>
      <c r="BW196" s="61">
        <f t="shared" si="323"/>
        <v>187</v>
      </c>
    </row>
    <row r="197" spans="2:75" x14ac:dyDescent="0.3">
      <c r="B197" s="171">
        <f t="shared" si="256"/>
        <v>44097</v>
      </c>
      <c r="C197" s="61"/>
      <c r="D197" s="17">
        <v>41616</v>
      </c>
      <c r="E197" s="16"/>
      <c r="F197" s="16"/>
      <c r="G197" s="16"/>
      <c r="H197" s="16">
        <f t="shared" ref="H197" si="455">+H196+D197</f>
        <v>7140116</v>
      </c>
      <c r="I197" s="16"/>
      <c r="J197" s="479">
        <f t="shared" ref="J197" si="456">+D197/H196</f>
        <v>5.8626470381066423E-3</v>
      </c>
      <c r="K197" s="16"/>
      <c r="L197" s="16"/>
      <c r="M197" s="16"/>
      <c r="N197" s="16">
        <f t="shared" ref="N197" si="457">SUM(D191:D197)</f>
        <v>288755</v>
      </c>
      <c r="O197" s="16">
        <f t="shared" ref="O197" si="458">+H197/BW197</f>
        <v>37979.340425531918</v>
      </c>
      <c r="P197" s="41"/>
      <c r="Q197" s="453"/>
      <c r="R197" s="16"/>
      <c r="S197" s="60"/>
      <c r="T197" s="16"/>
      <c r="U197" s="41"/>
      <c r="V197" s="10">
        <f t="shared" si="109"/>
        <v>89</v>
      </c>
      <c r="W197" s="34">
        <v>1115</v>
      </c>
      <c r="X197" s="33"/>
      <c r="Y197" s="33"/>
      <c r="Z197" s="33"/>
      <c r="AA197" s="33">
        <f t="shared" ref="AA197" si="459">+AA196+W197</f>
        <v>206596</v>
      </c>
      <c r="AB197" s="33"/>
      <c r="AC197" s="46">
        <f t="shared" ref="AC197" si="460">+AA197/H197</f>
        <v>2.893454392057496E-2</v>
      </c>
      <c r="AD197" s="33"/>
      <c r="AE197" s="33">
        <f t="shared" ref="AE197" si="461">+AA197/BW197</f>
        <v>1098.9148936170213</v>
      </c>
      <c r="AF197" s="50"/>
      <c r="AG197" s="33">
        <f>SUM(W191:W197)</f>
        <v>5267</v>
      </c>
      <c r="AH197" s="33">
        <f t="shared" ref="AH197" si="462">SUM(D168:D274)</f>
        <v>411484354.35152841</v>
      </c>
      <c r="AI197" s="231">
        <f t="shared" ref="AI197" si="463">+(AG197-AG190)/AG190</f>
        <v>-0.13797054009819967</v>
      </c>
      <c r="AJ197" s="50"/>
      <c r="AK197" s="10"/>
      <c r="AL197" s="23">
        <f t="shared" ref="AL197" si="464">+AP197-AP196</f>
        <v>52797</v>
      </c>
      <c r="AM197" s="24"/>
      <c r="AN197" s="24"/>
      <c r="AO197" s="24">
        <v>178263</v>
      </c>
      <c r="AP197" s="24">
        <v>4398907</v>
      </c>
      <c r="AQ197" s="24"/>
      <c r="AR197" s="504">
        <f t="shared" ref="AR197" si="465">+AL197/AP196</f>
        <v>1.2148104856987052E-2</v>
      </c>
      <c r="AS197" s="25"/>
      <c r="AT197" s="25"/>
      <c r="AU197" s="24"/>
      <c r="AV197" s="341">
        <f t="shared" ref="AV197" si="466">+AP197/H197</f>
        <v>0.61608340816871887</v>
      </c>
      <c r="AW197" s="341"/>
      <c r="AX197" s="24">
        <f t="shared" ref="AX197" si="467">+AP197/BW197</f>
        <v>23398.441489361703</v>
      </c>
      <c r="AY197" s="351"/>
      <c r="AZ197" s="10"/>
      <c r="BA197" s="66">
        <f t="shared" ref="BA197" si="468">+BC197-BC196</f>
        <v>900117</v>
      </c>
      <c r="BB197" s="67"/>
      <c r="BC197" s="67">
        <v>100582090</v>
      </c>
      <c r="BD197" s="67"/>
      <c r="BE197" s="67">
        <f t="shared" ref="BE197" si="469">+D197</f>
        <v>41616</v>
      </c>
      <c r="BF197" s="67"/>
      <c r="BG197" s="156">
        <f t="shared" ref="BG197" si="470">+BE197/BA197</f>
        <v>4.6233989581354426E-2</v>
      </c>
      <c r="BH197" s="67"/>
      <c r="BI197" s="183"/>
      <c r="BJ197" s="67"/>
      <c r="BK197" s="67">
        <f t="shared" ref="BK197" si="471">SUM(BA191:BA197)</f>
        <v>6213023</v>
      </c>
      <c r="BL197" s="67"/>
      <c r="BM197" s="156">
        <f t="shared" ref="BM197" si="472">+Q197/BK197</f>
        <v>0</v>
      </c>
      <c r="BN197" s="66">
        <f t="shared" ref="BN197" si="473">+BC197/BW197</f>
        <v>535011.11702127662</v>
      </c>
      <c r="BO197" s="67"/>
      <c r="BP197" s="67">
        <f t="shared" ref="BP197" si="474">+BP196+BE197</f>
        <v>6822808</v>
      </c>
      <c r="BQ197" s="67"/>
      <c r="BR197" s="478">
        <f t="shared" ref="BR197" si="475">+BP197/BC197</f>
        <v>6.7833229554088603E-2</v>
      </c>
      <c r="BS197" s="67"/>
      <c r="BT197" s="86"/>
      <c r="BU197" s="183"/>
      <c r="BV197" s="1"/>
      <c r="BW197" s="61">
        <f t="shared" si="323"/>
        <v>188</v>
      </c>
    </row>
    <row r="198" spans="2:75" x14ac:dyDescent="0.3">
      <c r="B198" s="171">
        <f t="shared" si="256"/>
        <v>44098</v>
      </c>
      <c r="C198" s="61"/>
      <c r="D198" s="17">
        <v>45355</v>
      </c>
      <c r="E198" s="16"/>
      <c r="F198" s="16"/>
      <c r="G198" s="16"/>
      <c r="H198" s="16">
        <f t="shared" ref="H198" si="476">+H197+D198</f>
        <v>7185471</v>
      </c>
      <c r="I198" s="16"/>
      <c r="J198" s="479">
        <f t="shared" ref="J198" si="477">+D198/H197</f>
        <v>6.3521376963623557E-3</v>
      </c>
      <c r="K198" s="16"/>
      <c r="L198" s="16"/>
      <c r="M198" s="16"/>
      <c r="N198" s="16">
        <f t="shared" ref="N198" si="478">SUM(D192:D198)</f>
        <v>287815</v>
      </c>
      <c r="O198" s="16">
        <f t="shared" ref="O198" si="479">+H198/BW198</f>
        <v>38018.365079365081</v>
      </c>
      <c r="P198" s="41"/>
      <c r="Q198" s="453"/>
      <c r="R198" s="16"/>
      <c r="S198" s="60"/>
      <c r="T198" s="16"/>
      <c r="U198" s="41"/>
      <c r="V198" s="10">
        <f t="shared" si="109"/>
        <v>90</v>
      </c>
      <c r="W198" s="34">
        <v>942</v>
      </c>
      <c r="X198" s="33"/>
      <c r="Y198" s="33"/>
      <c r="Z198" s="33"/>
      <c r="AA198" s="33">
        <f t="shared" ref="AA198" si="480">+AA197+W198</f>
        <v>207538</v>
      </c>
      <c r="AB198" s="33"/>
      <c r="AC198" s="46">
        <f t="shared" ref="AC198" si="481">+AA198/H198</f>
        <v>2.8883005720849755E-2</v>
      </c>
      <c r="AD198" s="33"/>
      <c r="AE198" s="33">
        <f t="shared" ref="AE198" si="482">+AA198/BW198</f>
        <v>1098.084656084656</v>
      </c>
      <c r="AF198" s="50"/>
      <c r="AG198" s="33">
        <f>SUM(W192:W198)</f>
        <v>5330</v>
      </c>
      <c r="AH198" s="33">
        <f t="shared" ref="AH198" si="483">SUM(D169:D275)</f>
        <v>411444256.35152841</v>
      </c>
      <c r="AI198" s="231">
        <f t="shared" ref="AI198" si="484">+(AG198-AG191)/AG191</f>
        <v>-9.6610169491525427E-2</v>
      </c>
      <c r="AJ198" s="50"/>
      <c r="AK198" s="10"/>
      <c r="AL198" s="23">
        <f t="shared" ref="AL198" si="485">+AP198-AP197</f>
        <v>38643</v>
      </c>
      <c r="AM198" s="24"/>
      <c r="AN198" s="24"/>
      <c r="AO198" s="24">
        <v>178263</v>
      </c>
      <c r="AP198" s="24">
        <v>4437550</v>
      </c>
      <c r="AQ198" s="24"/>
      <c r="AR198" s="504">
        <f t="shared" ref="AR198" si="486">+AL198/AP197</f>
        <v>8.7846821949179657E-3</v>
      </c>
      <c r="AS198" s="25"/>
      <c r="AT198" s="25"/>
      <c r="AU198" s="24"/>
      <c r="AV198" s="341">
        <f t="shared" ref="AV198" si="487">+AP198/H198</f>
        <v>0.61757259892914462</v>
      </c>
      <c r="AW198" s="341"/>
      <c r="AX198" s="24">
        <f t="shared" ref="AX198" si="488">+AP198/BW198</f>
        <v>23479.100529100528</v>
      </c>
      <c r="AY198" s="351"/>
      <c r="AZ198" s="10"/>
      <c r="BA198" s="66">
        <f t="shared" ref="BA198" si="489">+BC198-BC197</f>
        <v>990101</v>
      </c>
      <c r="BB198" s="67"/>
      <c r="BC198" s="67">
        <v>101572191</v>
      </c>
      <c r="BD198" s="67"/>
      <c r="BE198" s="67">
        <f t="shared" ref="BE198" si="490">+D198</f>
        <v>45355</v>
      </c>
      <c r="BF198" s="67"/>
      <c r="BG198" s="156">
        <f t="shared" ref="BG198" si="491">+BE198/BA198</f>
        <v>4.5808457924999574E-2</v>
      </c>
      <c r="BH198" s="67"/>
      <c r="BI198" s="183"/>
      <c r="BJ198" s="67"/>
      <c r="BK198" s="67">
        <f t="shared" ref="BK198" si="492">SUM(BA192:BA198)</f>
        <v>6337169</v>
      </c>
      <c r="BL198" s="67"/>
      <c r="BM198" s="156">
        <f t="shared" ref="BM198" si="493">+Q198/BK198</f>
        <v>0</v>
      </c>
      <c r="BN198" s="66">
        <f t="shared" ref="BN198" si="494">+BC198/BW198</f>
        <v>537419</v>
      </c>
      <c r="BO198" s="67"/>
      <c r="BP198" s="67">
        <f t="shared" ref="BP198" si="495">+BP197+BE198</f>
        <v>6868163</v>
      </c>
      <c r="BQ198" s="67"/>
      <c r="BR198" s="478">
        <f t="shared" ref="BR198" si="496">+BP198/BC198</f>
        <v>6.7618537440036125E-2</v>
      </c>
      <c r="BS198" s="67"/>
      <c r="BT198" s="86"/>
      <c r="BU198" s="183"/>
      <c r="BV198" s="1"/>
      <c r="BW198" s="61">
        <f t="shared" si="323"/>
        <v>189</v>
      </c>
    </row>
    <row r="199" spans="2:75" x14ac:dyDescent="0.3">
      <c r="B199" s="171">
        <f t="shared" si="256"/>
        <v>44099</v>
      </c>
      <c r="C199" s="61"/>
      <c r="D199" s="17">
        <v>53629</v>
      </c>
      <c r="E199" s="16"/>
      <c r="F199" s="16"/>
      <c r="G199" s="16"/>
      <c r="H199" s="16">
        <f t="shared" ref="H199" si="497">+H198+D199</f>
        <v>7239100</v>
      </c>
      <c r="I199" s="16"/>
      <c r="J199" s="479">
        <f t="shared" ref="J199" si="498">+D199/H198</f>
        <v>7.4635330098750657E-3</v>
      </c>
      <c r="K199" s="16"/>
      <c r="L199" s="16"/>
      <c r="M199" s="16"/>
      <c r="N199" s="16">
        <f t="shared" ref="N199" si="499">SUM(D193:D199)</f>
        <v>290099</v>
      </c>
      <c r="O199" s="16">
        <f t="shared" ref="O199" si="500">+H199/BW199</f>
        <v>38100.526315789473</v>
      </c>
      <c r="P199" s="41"/>
      <c r="Q199" s="453"/>
      <c r="R199" s="16"/>
      <c r="S199" s="60"/>
      <c r="T199" s="16"/>
      <c r="U199" s="41"/>
      <c r="V199" s="10">
        <f t="shared" si="109"/>
        <v>91</v>
      </c>
      <c r="W199" s="34">
        <v>895</v>
      </c>
      <c r="X199" s="33"/>
      <c r="Y199" s="33"/>
      <c r="Z199" s="33"/>
      <c r="AA199" s="33">
        <f t="shared" ref="AA199" si="501">+AA198+W199</f>
        <v>208433</v>
      </c>
      <c r="AB199" s="33"/>
      <c r="AC199" s="46">
        <f t="shared" ref="AC199" si="502">+AA199/H199</f>
        <v>2.8792667596800707E-2</v>
      </c>
      <c r="AD199" s="33"/>
      <c r="AE199" s="33">
        <f t="shared" ref="AE199" si="503">+AA199/BW199</f>
        <v>1097.0157894736842</v>
      </c>
      <c r="AF199" s="50"/>
      <c r="AG199" s="33">
        <f>SUM(W193:W199)</f>
        <v>5267</v>
      </c>
      <c r="AH199" s="33">
        <f t="shared" ref="AH199" si="504">SUM(D170:D276)</f>
        <v>411399619.35152841</v>
      </c>
      <c r="AI199" s="231">
        <f t="shared" ref="AI199" si="505">+(AG199-AG192)/AG192</f>
        <v>-8.6224843858431641E-2</v>
      </c>
      <c r="AJ199" s="50"/>
      <c r="AK199" s="10"/>
      <c r="AL199" s="23">
        <f t="shared" ref="AL199" si="506">+AP199-AP198</f>
        <v>43169</v>
      </c>
      <c r="AM199" s="24"/>
      <c r="AN199" s="24"/>
      <c r="AO199" s="24">
        <v>178263</v>
      </c>
      <c r="AP199" s="24">
        <v>4480719</v>
      </c>
      <c r="AQ199" s="24"/>
      <c r="AR199" s="504">
        <f t="shared" ref="AR199" si="507">+AL199/AP198</f>
        <v>9.7281157395409622E-3</v>
      </c>
      <c r="AS199" s="25"/>
      <c r="AT199" s="25"/>
      <c r="AU199" s="24"/>
      <c r="AV199" s="341">
        <f t="shared" ref="AV199" si="508">+AP199/H199</f>
        <v>0.6189607824177038</v>
      </c>
      <c r="AW199" s="341"/>
      <c r="AX199" s="24">
        <f t="shared" ref="AX199" si="509">+AP199/BW199</f>
        <v>23582.731578947369</v>
      </c>
      <c r="AY199" s="351"/>
      <c r="AZ199" s="10"/>
      <c r="BA199" s="66">
        <f t="shared" ref="BA199" si="510">+BC199-BC198</f>
        <v>975164</v>
      </c>
      <c r="BB199" s="67"/>
      <c r="BC199" s="67">
        <v>102547355</v>
      </c>
      <c r="BD199" s="67"/>
      <c r="BE199" s="67">
        <f t="shared" ref="BE199" si="511">+D199</f>
        <v>53629</v>
      </c>
      <c r="BF199" s="67"/>
      <c r="BG199" s="156">
        <f t="shared" ref="BG199" si="512">+BE199/BA199</f>
        <v>5.4994852147946395E-2</v>
      </c>
      <c r="BH199" s="67"/>
      <c r="BI199" s="183"/>
      <c r="BJ199" s="67"/>
      <c r="BK199" s="67">
        <f t="shared" ref="BK199" si="513">SUM(BA193:BA199)</f>
        <v>6323894</v>
      </c>
      <c r="BL199" s="67"/>
      <c r="BM199" s="156">
        <f t="shared" ref="BM199" si="514">+Q199/BK199</f>
        <v>0</v>
      </c>
      <c r="BN199" s="66">
        <f t="shared" ref="BN199" si="515">+BC199/BW199</f>
        <v>539722.92105263157</v>
      </c>
      <c r="BO199" s="67"/>
      <c r="BP199" s="67">
        <f t="shared" ref="BP199" si="516">+BP198+BE199</f>
        <v>6921792</v>
      </c>
      <c r="BQ199" s="67"/>
      <c r="BR199" s="478">
        <f t="shared" ref="BR199" si="517">+BP199/BC199</f>
        <v>6.7498493744670457E-2</v>
      </c>
      <c r="BS199" s="67"/>
      <c r="BT199" s="86"/>
      <c r="BU199" s="183"/>
      <c r="BV199" s="1"/>
      <c r="BW199" s="61">
        <f t="shared" si="323"/>
        <v>190</v>
      </c>
    </row>
    <row r="200" spans="2:75" x14ac:dyDescent="0.3">
      <c r="B200" s="171">
        <f t="shared" si="256"/>
        <v>44100</v>
      </c>
      <c r="C200" s="61"/>
      <c r="D200" s="17">
        <v>43206</v>
      </c>
      <c r="E200" s="16"/>
      <c r="F200" s="16"/>
      <c r="G200" s="16"/>
      <c r="H200" s="16">
        <f t="shared" ref="H200" si="518">+H199+D200</f>
        <v>7282306</v>
      </c>
      <c r="I200" s="16"/>
      <c r="J200" s="479">
        <f t="shared" ref="J200" si="519">+D200/H199</f>
        <v>5.9684214888591127E-3</v>
      </c>
      <c r="K200" s="16"/>
      <c r="L200" s="16"/>
      <c r="M200" s="16"/>
      <c r="N200" s="16">
        <f t="shared" ref="N200" si="520">SUM(D194:D200)</f>
        <v>289692</v>
      </c>
      <c r="O200" s="16">
        <f t="shared" ref="O200" si="521">+H200/BW200</f>
        <v>38127.256544502619</v>
      </c>
      <c r="P200" s="41"/>
      <c r="Q200" s="453"/>
      <c r="R200" s="16"/>
      <c r="S200" s="60"/>
      <c r="T200" s="16"/>
      <c r="U200" s="41"/>
      <c r="V200" s="10">
        <f t="shared" si="109"/>
        <v>92</v>
      </c>
      <c r="W200" s="34">
        <v>737</v>
      </c>
      <c r="X200" s="33"/>
      <c r="Y200" s="33"/>
      <c r="Z200" s="33"/>
      <c r="AA200" s="33">
        <f t="shared" ref="AA200" si="522">+AA199+W200</f>
        <v>209170</v>
      </c>
      <c r="AB200" s="33"/>
      <c r="AC200" s="46">
        <f t="shared" ref="AC200" si="523">+AA200/H200</f>
        <v>2.8723044596038673E-2</v>
      </c>
      <c r="AD200" s="33"/>
      <c r="AE200" s="33">
        <f t="shared" ref="AE200" si="524">+AA200/BW200</f>
        <v>1095.1308900523561</v>
      </c>
      <c r="AF200" s="50"/>
      <c r="AG200" s="33">
        <f>SUM(W194:W200)</f>
        <v>5346</v>
      </c>
      <c r="AH200" s="33">
        <f t="shared" ref="AH200" si="525">SUM(D171:D277)</f>
        <v>411353613.35152841</v>
      </c>
      <c r="AI200" s="231">
        <f t="shared" ref="AI200" si="526">+(AG200-AG193)/AG193</f>
        <v>-6.4566929133858267E-2</v>
      </c>
      <c r="AJ200" s="50"/>
      <c r="AK200" s="10"/>
      <c r="AL200" s="23">
        <f t="shared" ref="AL200" si="527">+AP200-AP199</f>
        <v>43389</v>
      </c>
      <c r="AM200" s="24"/>
      <c r="AN200" s="24"/>
      <c r="AO200" s="24">
        <v>178263</v>
      </c>
      <c r="AP200" s="24">
        <v>4524108</v>
      </c>
      <c r="AQ200" s="24"/>
      <c r="AR200" s="504">
        <f t="shared" ref="AR200" si="528">+AL200/AP199</f>
        <v>9.6834905290869612E-3</v>
      </c>
      <c r="AS200" s="25"/>
      <c r="AT200" s="25"/>
      <c r="AU200" s="24"/>
      <c r="AV200" s="341">
        <f t="shared" ref="AV200" si="529">+AP200/H200</f>
        <v>0.62124662160584843</v>
      </c>
      <c r="AW200" s="341"/>
      <c r="AX200" s="24">
        <f t="shared" ref="AX200" si="530">+AP200/BW200</f>
        <v>23686.429319371728</v>
      </c>
      <c r="AY200" s="351"/>
      <c r="AZ200" s="10"/>
      <c r="BA200" s="66">
        <f t="shared" ref="BA200" si="531">+BC200-BC199</f>
        <v>1028168</v>
      </c>
      <c r="BB200" s="67"/>
      <c r="BC200" s="67">
        <v>103575523</v>
      </c>
      <c r="BD200" s="67"/>
      <c r="BE200" s="67">
        <f t="shared" ref="BE200" si="532">+D200</f>
        <v>43206</v>
      </c>
      <c r="BF200" s="67"/>
      <c r="BG200" s="156">
        <f t="shared" ref="BG200" si="533">+BE200/BA200</f>
        <v>4.2022315419270005E-2</v>
      </c>
      <c r="BH200" s="67"/>
      <c r="BI200" s="183"/>
      <c r="BJ200" s="67"/>
      <c r="BK200" s="67">
        <f t="shared" ref="BK200" si="534">SUM(BA194:BA200)</f>
        <v>6265211</v>
      </c>
      <c r="BL200" s="67"/>
      <c r="BM200" s="156">
        <f t="shared" ref="BM200" si="535">+Q200/BK200</f>
        <v>0</v>
      </c>
      <c r="BN200" s="66">
        <f t="shared" ref="BN200" si="536">+BC200/BW200</f>
        <v>542280.22513089003</v>
      </c>
      <c r="BO200" s="67"/>
      <c r="BP200" s="67">
        <f t="shared" ref="BP200" si="537">+BP199+BE200</f>
        <v>6964998</v>
      </c>
      <c r="BQ200" s="67"/>
      <c r="BR200" s="478">
        <f t="shared" ref="BR200" si="538">+BP200/BC200</f>
        <v>6.7245598170911483E-2</v>
      </c>
      <c r="BS200" s="67"/>
      <c r="BT200" s="86"/>
      <c r="BU200" s="183"/>
      <c r="BV200" s="1"/>
      <c r="BW200" s="61">
        <f t="shared" si="323"/>
        <v>191</v>
      </c>
    </row>
    <row r="201" spans="2:75" x14ac:dyDescent="0.3">
      <c r="B201" s="390">
        <f t="shared" si="256"/>
        <v>44101</v>
      </c>
      <c r="C201" s="61"/>
      <c r="D201" s="17">
        <v>33782</v>
      </c>
      <c r="E201" s="16"/>
      <c r="F201" s="16"/>
      <c r="G201" s="16"/>
      <c r="H201" s="16">
        <f t="shared" ref="H201" si="539">+H200+D201</f>
        <v>7316088</v>
      </c>
      <c r="I201" s="16"/>
      <c r="J201" s="479">
        <f t="shared" ref="J201" si="540">+D201/H200</f>
        <v>4.6389152007619561E-3</v>
      </c>
      <c r="K201" s="16"/>
      <c r="L201" s="16"/>
      <c r="M201" s="16"/>
      <c r="N201" s="16">
        <f t="shared" ref="N201" si="541">SUM(D195:D201)</f>
        <v>290088</v>
      </c>
      <c r="O201" s="16">
        <f t="shared" ref="O201" si="542">+H201/BW201</f>
        <v>38104.625</v>
      </c>
      <c r="P201" s="41"/>
      <c r="Q201" s="453"/>
      <c r="R201" s="16"/>
      <c r="S201" s="60"/>
      <c r="T201" s="16"/>
      <c r="U201" s="41"/>
      <c r="V201" s="10">
        <f t="shared" si="109"/>
        <v>93</v>
      </c>
      <c r="W201" s="34">
        <v>276</v>
      </c>
      <c r="X201" s="33"/>
      <c r="Y201" s="33"/>
      <c r="Z201" s="33"/>
      <c r="AA201" s="33">
        <f t="shared" ref="AA201" si="543">+AA200+W201</f>
        <v>209446</v>
      </c>
      <c r="AB201" s="33"/>
      <c r="AC201" s="46">
        <f t="shared" ref="AC201" si="544">+AA201/H201</f>
        <v>2.8628141159592394E-2</v>
      </c>
      <c r="AD201" s="33"/>
      <c r="AE201" s="33">
        <f t="shared" ref="AE201" si="545">+AA201/BW201</f>
        <v>1090.8645833333333</v>
      </c>
      <c r="AF201" s="50"/>
      <c r="AG201" s="33">
        <f>SUM(W195:W201)</f>
        <v>5328</v>
      </c>
      <c r="AH201" s="33">
        <f t="shared" ref="AH201" si="546">SUM(D172:D278)</f>
        <v>411304012.35152841</v>
      </c>
      <c r="AI201" s="231">
        <f t="shared" ref="AI201" si="547">+(AG201-AG194)/AG194</f>
        <v>-5.145095246572904E-2</v>
      </c>
      <c r="AJ201" s="50"/>
      <c r="AK201" s="10"/>
      <c r="AL201" s="23">
        <f t="shared" ref="AL201" si="548">+AP201-AP200</f>
        <v>36348</v>
      </c>
      <c r="AM201" s="24"/>
      <c r="AN201" s="24"/>
      <c r="AO201" s="24">
        <v>178263</v>
      </c>
      <c r="AP201" s="24">
        <v>4560456</v>
      </c>
      <c r="AQ201" s="24"/>
      <c r="AR201" s="504">
        <f t="shared" ref="AR201" si="549">+AL201/AP200</f>
        <v>8.0342909585712809E-3</v>
      </c>
      <c r="AS201" s="25"/>
      <c r="AT201" s="25"/>
      <c r="AU201" s="24"/>
      <c r="AV201" s="341">
        <f t="shared" ref="AV201" si="550">+AP201/H201</f>
        <v>0.62334624733874167</v>
      </c>
      <c r="AW201" s="341"/>
      <c r="AX201" s="24">
        <f t="shared" ref="AX201" si="551">+AP201/BW201</f>
        <v>23752.375</v>
      </c>
      <c r="AY201" s="351"/>
      <c r="AZ201" s="10"/>
      <c r="BA201" s="66">
        <f t="shared" ref="BA201" si="552">+BC201-BC200</f>
        <v>759639</v>
      </c>
      <c r="BB201" s="67"/>
      <c r="BC201" s="67">
        <v>104335162</v>
      </c>
      <c r="BD201" s="67"/>
      <c r="BE201" s="67">
        <f t="shared" ref="BE201" si="553">+D201</f>
        <v>33782</v>
      </c>
      <c r="BF201" s="67"/>
      <c r="BG201" s="156">
        <f t="shared" ref="BG201" si="554">+BE201/BA201</f>
        <v>4.4471123783797306E-2</v>
      </c>
      <c r="BH201" s="67"/>
      <c r="BI201" s="183"/>
      <c r="BJ201" s="67"/>
      <c r="BK201" s="67">
        <f t="shared" ref="BK201" si="555">SUM(BA195:BA201)</f>
        <v>6168553</v>
      </c>
      <c r="BL201" s="67"/>
      <c r="BM201" s="156">
        <f t="shared" ref="BM201" si="556">+Q201/BK201</f>
        <v>0</v>
      </c>
      <c r="BN201" s="66">
        <f t="shared" ref="BN201" si="557">+BC201/BW201</f>
        <v>543412.30208333337</v>
      </c>
      <c r="BO201" s="67"/>
      <c r="BP201" s="67">
        <f t="shared" ref="BP201" si="558">+BP200+BE201</f>
        <v>6998780</v>
      </c>
      <c r="BQ201" s="67"/>
      <c r="BR201" s="478">
        <f t="shared" ref="BR201" si="559">+BP201/BC201</f>
        <v>6.7079782748600131E-2</v>
      </c>
      <c r="BS201" s="67"/>
      <c r="BT201" s="86"/>
      <c r="BU201" s="183"/>
      <c r="BV201" s="1"/>
      <c r="BW201" s="61">
        <f t="shared" si="323"/>
        <v>192</v>
      </c>
    </row>
    <row r="202" spans="2:75" x14ac:dyDescent="0.3">
      <c r="B202" s="171">
        <f t="shared" si="256"/>
        <v>44102</v>
      </c>
      <c r="C202" s="61"/>
      <c r="D202" s="17">
        <v>37418</v>
      </c>
      <c r="E202" s="16"/>
      <c r="F202" s="16"/>
      <c r="G202" s="16"/>
      <c r="H202" s="16">
        <f t="shared" ref="H202" si="560">+H201+D202</f>
        <v>7353506</v>
      </c>
      <c r="I202" s="16"/>
      <c r="J202" s="479">
        <f t="shared" ref="J202" si="561">+D202/H201</f>
        <v>5.1144819471827018E-3</v>
      </c>
      <c r="K202" s="16"/>
      <c r="L202" s="16"/>
      <c r="M202" s="16"/>
      <c r="N202" s="16">
        <f t="shared" ref="N202" si="562">SUM(D196:D202)</f>
        <v>290702</v>
      </c>
      <c r="O202" s="16">
        <f t="shared" ref="O202" si="563">+H202/BW202</f>
        <v>38101.067357512955</v>
      </c>
      <c r="P202" s="41"/>
      <c r="Q202" s="453"/>
      <c r="R202" s="16"/>
      <c r="S202" s="60"/>
      <c r="T202" s="16"/>
      <c r="U202" s="41"/>
      <c r="V202" s="10">
        <f t="shared" si="109"/>
        <v>94</v>
      </c>
      <c r="W202" s="34">
        <v>355</v>
      </c>
      <c r="X202" s="33"/>
      <c r="Y202" s="33"/>
      <c r="Z202" s="33"/>
      <c r="AA202" s="33">
        <f t="shared" ref="AA202" si="564">+AA201+W202</f>
        <v>209801</v>
      </c>
      <c r="AB202" s="33"/>
      <c r="AC202" s="46">
        <f t="shared" ref="AC202" si="565">+AA202/H202</f>
        <v>2.8530744382339525E-2</v>
      </c>
      <c r="AD202" s="33"/>
      <c r="AE202" s="33">
        <f t="shared" ref="AE202" si="566">+AA202/BW202</f>
        <v>1087.0518134715026</v>
      </c>
      <c r="AF202" s="50"/>
      <c r="AG202" s="33">
        <f>SUM(W196:W202)</f>
        <v>5299</v>
      </c>
      <c r="AH202" s="33">
        <f t="shared" ref="AH202" si="567">SUM(D173:D279)</f>
        <v>411261352.35152841</v>
      </c>
      <c r="AI202" s="231">
        <f t="shared" ref="AI202" si="568">+(AG202-AG195)/AG195</f>
        <v>-4.0210106864698426E-2</v>
      </c>
      <c r="AJ202" s="50"/>
      <c r="AK202" s="10"/>
      <c r="AL202" s="23">
        <f t="shared" ref="AL202" si="569">+AP202-AP201</f>
        <v>49180</v>
      </c>
      <c r="AM202" s="24"/>
      <c r="AN202" s="24"/>
      <c r="AO202" s="24">
        <v>178263</v>
      </c>
      <c r="AP202" s="24">
        <v>4609636</v>
      </c>
      <c r="AQ202" s="24"/>
      <c r="AR202" s="504">
        <f t="shared" ref="AR202" si="570">+AL202/AP201</f>
        <v>1.0784009318366409E-2</v>
      </c>
      <c r="AS202" s="25"/>
      <c r="AT202" s="25"/>
      <c r="AU202" s="24"/>
      <c r="AV202" s="341">
        <f t="shared" ref="AV202" si="571">+AP202/H202</f>
        <v>0.62686234294226451</v>
      </c>
      <c r="AW202" s="341"/>
      <c r="AX202" s="24">
        <f t="shared" ref="AX202" si="572">+AP202/BW202</f>
        <v>23884.124352331608</v>
      </c>
      <c r="AY202" s="351"/>
      <c r="AZ202" s="10"/>
      <c r="BA202" s="66">
        <f t="shared" ref="BA202" si="573">+BC202-BC201</f>
        <v>1066544</v>
      </c>
      <c r="BB202" s="67"/>
      <c r="BC202" s="67">
        <v>105401706</v>
      </c>
      <c r="BD202" s="67"/>
      <c r="BE202" s="67">
        <f t="shared" ref="BE202" si="574">+D202</f>
        <v>37418</v>
      </c>
      <c r="BF202" s="67"/>
      <c r="BG202" s="156">
        <f t="shared" ref="BG202" si="575">+BE202/BA202</f>
        <v>3.5083409592103092E-2</v>
      </c>
      <c r="BH202" s="67"/>
      <c r="BI202" s="183"/>
      <c r="BJ202" s="67"/>
      <c r="BK202" s="67">
        <f t="shared" ref="BK202" si="576">SUM(BA196:BA202)</f>
        <v>6491931</v>
      </c>
      <c r="BL202" s="67"/>
      <c r="BM202" s="156">
        <f t="shared" ref="BM202" si="577">+Q202/BK202</f>
        <v>0</v>
      </c>
      <c r="BN202" s="66">
        <f t="shared" ref="BN202" si="578">+BC202/BW202</f>
        <v>546122.82901554403</v>
      </c>
      <c r="BO202" s="67"/>
      <c r="BP202" s="67">
        <f t="shared" ref="BP202" si="579">+BP201+BE202</f>
        <v>7036198</v>
      </c>
      <c r="BQ202" s="67"/>
      <c r="BR202" s="478">
        <f t="shared" ref="BR202" si="580">+BP202/BC202</f>
        <v>6.6756016264101076E-2</v>
      </c>
      <c r="BS202" s="67"/>
      <c r="BT202" s="86"/>
      <c r="BU202" s="183"/>
      <c r="BV202" s="1"/>
      <c r="BW202" s="61">
        <f t="shared" si="323"/>
        <v>193</v>
      </c>
    </row>
    <row r="203" spans="2:75" x14ac:dyDescent="0.3">
      <c r="B203" s="171">
        <f t="shared" si="256"/>
        <v>44103</v>
      </c>
      <c r="C203" s="61"/>
      <c r="D203" s="17"/>
      <c r="E203" s="16"/>
      <c r="F203" s="16"/>
      <c r="G203" s="16"/>
      <c r="H203" s="16"/>
      <c r="I203" s="16"/>
      <c r="J203" s="479"/>
      <c r="K203" s="16"/>
      <c r="L203" s="16"/>
      <c r="M203" s="16"/>
      <c r="N203" s="16"/>
      <c r="O203" s="16"/>
      <c r="P203" s="41"/>
      <c r="Q203" s="453"/>
      <c r="R203" s="16"/>
      <c r="S203" s="60"/>
      <c r="T203" s="16"/>
      <c r="U203" s="41"/>
      <c r="V203" s="10"/>
      <c r="W203" s="34"/>
      <c r="X203" s="33"/>
      <c r="Y203" s="33"/>
      <c r="Z203" s="33"/>
      <c r="AA203" s="33"/>
      <c r="AB203" s="33"/>
      <c r="AC203" s="46"/>
      <c r="AD203" s="33"/>
      <c r="AE203" s="33"/>
      <c r="AF203" s="50"/>
      <c r="AG203" s="33"/>
      <c r="AH203" s="33"/>
      <c r="AI203" s="231"/>
      <c r="AJ203" s="50"/>
      <c r="AK203" s="10"/>
      <c r="AL203" s="23"/>
      <c r="AM203" s="24"/>
      <c r="AN203" s="24"/>
      <c r="AO203" s="24"/>
      <c r="AP203" s="24"/>
      <c r="AQ203" s="24"/>
      <c r="AR203" s="504"/>
      <c r="AS203" s="25"/>
      <c r="AT203" s="25"/>
      <c r="AU203" s="24"/>
      <c r="AV203" s="341"/>
      <c r="AW203" s="341"/>
      <c r="AX203" s="24"/>
      <c r="AY203" s="351"/>
      <c r="AZ203" s="10"/>
      <c r="BA203" s="66"/>
      <c r="BB203" s="67"/>
      <c r="BC203" s="67"/>
      <c r="BD203" s="67"/>
      <c r="BE203" s="67"/>
      <c r="BF203" s="67"/>
      <c r="BG203" s="156"/>
      <c r="BH203" s="67"/>
      <c r="BI203" s="183"/>
      <c r="BJ203" s="67"/>
      <c r="BK203" s="67"/>
      <c r="BL203" s="67"/>
      <c r="BM203" s="156"/>
      <c r="BN203" s="66"/>
      <c r="BO203" s="67"/>
      <c r="BP203" s="67"/>
      <c r="BQ203" s="67"/>
      <c r="BR203" s="478"/>
      <c r="BS203" s="67"/>
      <c r="BT203" s="86"/>
      <c r="BU203" s="183"/>
      <c r="BV203" s="1"/>
      <c r="BW203" s="61">
        <f t="shared" si="323"/>
        <v>194</v>
      </c>
    </row>
    <row r="204" spans="2:75" x14ac:dyDescent="0.3">
      <c r="B204" s="171">
        <f t="shared" si="256"/>
        <v>44104</v>
      </c>
      <c r="C204" s="61"/>
      <c r="D204" s="17"/>
      <c r="E204" s="16"/>
      <c r="F204" s="16"/>
      <c r="G204" s="16"/>
      <c r="H204" s="16"/>
      <c r="I204" s="16"/>
      <c r="J204" s="479"/>
      <c r="K204" s="16"/>
      <c r="L204" s="16"/>
      <c r="M204" s="16"/>
      <c r="N204" s="16"/>
      <c r="O204" s="16"/>
      <c r="P204" s="41"/>
      <c r="Q204" s="453"/>
      <c r="R204" s="16"/>
      <c r="S204" s="60"/>
      <c r="T204" s="16"/>
      <c r="U204" s="41"/>
      <c r="V204" s="10"/>
      <c r="W204" s="34"/>
      <c r="X204" s="33"/>
      <c r="Y204" s="33"/>
      <c r="Z204" s="33"/>
      <c r="AA204" s="33"/>
      <c r="AB204" s="33"/>
      <c r="AC204" s="46"/>
      <c r="AD204" s="33"/>
      <c r="AE204" s="33"/>
      <c r="AF204" s="50"/>
      <c r="AG204" s="33"/>
      <c r="AH204" s="33"/>
      <c r="AI204" s="231"/>
      <c r="AJ204" s="50"/>
      <c r="AK204" s="10"/>
      <c r="AL204" s="23"/>
      <c r="AM204" s="24"/>
      <c r="AN204" s="24"/>
      <c r="AO204" s="24"/>
      <c r="AP204" s="24"/>
      <c r="AQ204" s="24"/>
      <c r="AR204" s="504"/>
      <c r="AS204" s="25"/>
      <c r="AT204" s="25"/>
      <c r="AU204" s="24"/>
      <c r="AV204" s="341"/>
      <c r="AW204" s="341"/>
      <c r="AX204" s="24"/>
      <c r="AY204" s="351"/>
      <c r="AZ204" s="10"/>
      <c r="BA204" s="66"/>
      <c r="BB204" s="67"/>
      <c r="BC204" s="67"/>
      <c r="BD204" s="67"/>
      <c r="BE204" s="67"/>
      <c r="BF204" s="67"/>
      <c r="BG204" s="156"/>
      <c r="BH204" s="67"/>
      <c r="BI204" s="183"/>
      <c r="BJ204" s="67"/>
      <c r="BK204" s="67"/>
      <c r="BL204" s="67"/>
      <c r="BM204" s="156"/>
      <c r="BN204" s="66"/>
      <c r="BO204" s="67"/>
      <c r="BP204" s="67"/>
      <c r="BQ204" s="67"/>
      <c r="BR204" s="478"/>
      <c r="BS204" s="67"/>
      <c r="BT204" s="86"/>
      <c r="BU204" s="183"/>
      <c r="BV204" s="1"/>
      <c r="BW204" s="61">
        <f t="shared" si="323"/>
        <v>195</v>
      </c>
    </row>
    <row r="205" spans="2:75" x14ac:dyDescent="0.3">
      <c r="B205" s="171">
        <f t="shared" si="256"/>
        <v>44105</v>
      </c>
      <c r="C205" s="61"/>
      <c r="D205" s="17"/>
      <c r="E205" s="16"/>
      <c r="F205" s="16"/>
      <c r="G205" s="16"/>
      <c r="H205" s="16"/>
      <c r="I205" s="16"/>
      <c r="J205" s="479"/>
      <c r="K205" s="16"/>
      <c r="L205" s="16"/>
      <c r="M205" s="16"/>
      <c r="N205" s="16"/>
      <c r="O205" s="16"/>
      <c r="P205" s="41"/>
      <c r="Q205" s="453"/>
      <c r="R205" s="16"/>
      <c r="S205" s="60"/>
      <c r="T205" s="16"/>
      <c r="U205" s="41"/>
      <c r="V205" s="10"/>
      <c r="W205" s="34"/>
      <c r="X205" s="33"/>
      <c r="Y205" s="33"/>
      <c r="Z205" s="33"/>
      <c r="AA205" s="33"/>
      <c r="AB205" s="33"/>
      <c r="AC205" s="46"/>
      <c r="AD205" s="33"/>
      <c r="AE205" s="33"/>
      <c r="AF205" s="50"/>
      <c r="AG205" s="33"/>
      <c r="AH205" s="33"/>
      <c r="AI205" s="231"/>
      <c r="AJ205" s="50"/>
      <c r="AK205" s="10"/>
      <c r="AL205" s="23"/>
      <c r="AM205" s="24"/>
      <c r="AN205" s="24"/>
      <c r="AO205" s="24"/>
      <c r="AP205" s="24"/>
      <c r="AQ205" s="24"/>
      <c r="AR205" s="504"/>
      <c r="AS205" s="25"/>
      <c r="AT205" s="25"/>
      <c r="AU205" s="24"/>
      <c r="AV205" s="341"/>
      <c r="AW205" s="341"/>
      <c r="AX205" s="24"/>
      <c r="AY205" s="351"/>
      <c r="AZ205" s="10"/>
      <c r="BA205" s="66"/>
      <c r="BB205" s="67"/>
      <c r="BC205" s="67"/>
      <c r="BD205" s="67"/>
      <c r="BE205" s="67"/>
      <c r="BF205" s="67"/>
      <c r="BG205" s="156"/>
      <c r="BH205" s="67"/>
      <c r="BI205" s="183"/>
      <c r="BJ205" s="67"/>
      <c r="BK205" s="67"/>
      <c r="BL205" s="67"/>
      <c r="BM205" s="156"/>
      <c r="BN205" s="66"/>
      <c r="BO205" s="67"/>
      <c r="BP205" s="67"/>
      <c r="BQ205" s="67"/>
      <c r="BR205" s="478"/>
      <c r="BS205" s="67"/>
      <c r="BT205" s="86"/>
      <c r="BU205" s="183"/>
      <c r="BV205" s="1"/>
      <c r="BW205" s="61">
        <f t="shared" si="323"/>
        <v>196</v>
      </c>
    </row>
    <row r="206" spans="2:75" x14ac:dyDescent="0.3">
      <c r="B206" s="171">
        <f t="shared" si="256"/>
        <v>44106</v>
      </c>
      <c r="C206" s="61"/>
      <c r="D206" s="17"/>
      <c r="E206" s="16"/>
      <c r="F206" s="16"/>
      <c r="G206" s="16"/>
      <c r="H206" s="16"/>
      <c r="I206" s="16"/>
      <c r="J206" s="479"/>
      <c r="K206" s="16"/>
      <c r="L206" s="16"/>
      <c r="M206" s="16"/>
      <c r="N206" s="16"/>
      <c r="O206" s="16"/>
      <c r="P206" s="41"/>
      <c r="Q206" s="453"/>
      <c r="R206" s="16"/>
      <c r="S206" s="60"/>
      <c r="T206" s="16"/>
      <c r="U206" s="41"/>
      <c r="V206" s="10"/>
      <c r="W206" s="34"/>
      <c r="X206" s="33"/>
      <c r="Y206" s="33"/>
      <c r="Z206" s="33"/>
      <c r="AA206" s="33"/>
      <c r="AB206" s="33"/>
      <c r="AC206" s="46"/>
      <c r="AD206" s="33"/>
      <c r="AE206" s="33"/>
      <c r="AF206" s="50"/>
      <c r="AG206" s="33"/>
      <c r="AH206" s="33"/>
      <c r="AI206" s="231"/>
      <c r="AJ206" s="50"/>
      <c r="AK206" s="10"/>
      <c r="AL206" s="23"/>
      <c r="AM206" s="24"/>
      <c r="AN206" s="24"/>
      <c r="AO206" s="24"/>
      <c r="AP206" s="24"/>
      <c r="AQ206" s="24"/>
      <c r="AR206" s="504"/>
      <c r="AS206" s="25"/>
      <c r="AT206" s="25"/>
      <c r="AU206" s="24"/>
      <c r="AV206" s="341"/>
      <c r="AW206" s="341"/>
      <c r="AX206" s="24"/>
      <c r="AY206" s="351"/>
      <c r="AZ206" s="10"/>
      <c r="BA206" s="66"/>
      <c r="BB206" s="67"/>
      <c r="BC206" s="67"/>
      <c r="BD206" s="67"/>
      <c r="BE206" s="67"/>
      <c r="BF206" s="67"/>
      <c r="BG206" s="156"/>
      <c r="BH206" s="67"/>
      <c r="BI206" s="183"/>
      <c r="BJ206" s="67"/>
      <c r="BK206" s="67"/>
      <c r="BL206" s="67"/>
      <c r="BM206" s="156"/>
      <c r="BN206" s="66"/>
      <c r="BO206" s="67"/>
      <c r="BP206" s="67"/>
      <c r="BQ206" s="67"/>
      <c r="BR206" s="478"/>
      <c r="BS206" s="67"/>
      <c r="BT206" s="86"/>
      <c r="BU206" s="183"/>
      <c r="BV206" s="1"/>
      <c r="BW206" s="61">
        <f t="shared" si="323"/>
        <v>197</v>
      </c>
    </row>
    <row r="207" spans="2:75" x14ac:dyDescent="0.3">
      <c r="B207" s="171">
        <f t="shared" si="256"/>
        <v>44107</v>
      </c>
      <c r="D207" s="18"/>
      <c r="E207" s="19"/>
      <c r="F207" s="19"/>
      <c r="G207" s="19"/>
      <c r="H207" s="19"/>
      <c r="I207" s="19"/>
      <c r="J207" s="39"/>
      <c r="K207" s="19"/>
      <c r="L207" s="19"/>
      <c r="M207" s="19"/>
      <c r="N207" s="19"/>
      <c r="O207" s="19"/>
      <c r="P207" s="43"/>
      <c r="Q207" s="18"/>
      <c r="R207" s="19"/>
      <c r="S207" s="19"/>
      <c r="T207" s="19"/>
      <c r="U207" s="43"/>
      <c r="V207" s="1"/>
      <c r="W207" s="35"/>
      <c r="X207" s="36"/>
      <c r="Y207" s="36"/>
      <c r="Z207" s="36"/>
      <c r="AA207" s="36"/>
      <c r="AB207" s="36"/>
      <c r="AC207" s="47"/>
      <c r="AD207" s="36"/>
      <c r="AE207" s="36"/>
      <c r="AF207" s="51"/>
      <c r="AG207" s="36"/>
      <c r="AH207" s="36"/>
      <c r="AI207" s="36"/>
      <c r="AJ207" s="51"/>
      <c r="AK207" s="1"/>
      <c r="AL207" s="26"/>
      <c r="AM207" s="27"/>
      <c r="AN207" s="27"/>
      <c r="AO207" s="27"/>
      <c r="AP207" s="27"/>
      <c r="AQ207" s="27"/>
      <c r="AR207" s="27"/>
      <c r="AS207" s="27"/>
      <c r="AT207" s="27"/>
      <c r="AU207" s="27"/>
      <c r="AV207" s="343"/>
      <c r="AW207" s="343"/>
      <c r="AX207" s="27"/>
      <c r="AY207" s="350"/>
      <c r="AZ207" s="1"/>
      <c r="BA207" s="68"/>
      <c r="BB207" s="69"/>
      <c r="BC207" s="69"/>
      <c r="BD207" s="69"/>
      <c r="BE207" s="69"/>
      <c r="BF207" s="69"/>
      <c r="BG207" s="69"/>
      <c r="BH207" s="69"/>
      <c r="BI207" s="184"/>
      <c r="BJ207" s="69"/>
      <c r="BK207" s="69"/>
      <c r="BL207" s="69"/>
      <c r="BM207" s="69"/>
      <c r="BN207" s="68"/>
      <c r="BO207" s="69"/>
      <c r="BP207" s="69"/>
      <c r="BQ207" s="69"/>
      <c r="BR207" s="71"/>
      <c r="BS207" s="69"/>
      <c r="BT207" s="69"/>
      <c r="BU207" s="184"/>
      <c r="BV207" s="1"/>
      <c r="BW207" s="61">
        <f t="shared" si="323"/>
        <v>198</v>
      </c>
    </row>
    <row r="208" spans="2:75" x14ac:dyDescent="0.3">
      <c r="B208" s="56"/>
      <c r="D208" s="1"/>
      <c r="E208" s="1"/>
      <c r="F208" s="1"/>
      <c r="G208" s="1"/>
      <c r="H208" s="59"/>
      <c r="I208" s="1"/>
      <c r="J208" s="5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59"/>
      <c r="X208" s="1"/>
      <c r="Y208" s="1"/>
      <c r="Z208" s="1"/>
      <c r="AA208" s="1"/>
      <c r="AB208" s="1"/>
      <c r="AC208" s="59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59"/>
      <c r="BD208" s="1"/>
      <c r="BE208" s="59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</row>
    <row r="209" spans="2:85" x14ac:dyDescent="0.3">
      <c r="B209" s="179" t="s">
        <v>82</v>
      </c>
      <c r="D209" s="56">
        <f>+D202</f>
        <v>37418</v>
      </c>
      <c r="E209" s="56">
        <f t="shared" ref="E209:G209" si="581">+E193</f>
        <v>0</v>
      </c>
      <c r="F209" s="56">
        <f t="shared" si="581"/>
        <v>0</v>
      </c>
      <c r="G209" s="56">
        <f t="shared" si="581"/>
        <v>0</v>
      </c>
      <c r="H209" s="56">
        <f t="shared" ref="H209:BR209" si="582">+H202</f>
        <v>7353506</v>
      </c>
      <c r="I209" s="56">
        <f t="shared" si="582"/>
        <v>0</v>
      </c>
      <c r="J209" s="56">
        <f t="shared" si="582"/>
        <v>5.1144819471827018E-3</v>
      </c>
      <c r="K209" s="56">
        <f t="shared" si="582"/>
        <v>0</v>
      </c>
      <c r="L209" s="56">
        <f t="shared" si="582"/>
        <v>0</v>
      </c>
      <c r="M209" s="56">
        <f t="shared" si="582"/>
        <v>0</v>
      </c>
      <c r="N209" s="56">
        <f t="shared" si="582"/>
        <v>290702</v>
      </c>
      <c r="O209" s="56">
        <f t="shared" si="582"/>
        <v>38101.067357512955</v>
      </c>
      <c r="P209" s="56">
        <f t="shared" si="582"/>
        <v>0</v>
      </c>
      <c r="Q209" s="56">
        <f t="shared" si="582"/>
        <v>0</v>
      </c>
      <c r="R209" s="56">
        <f t="shared" si="582"/>
        <v>0</v>
      </c>
      <c r="S209" s="56">
        <f t="shared" si="582"/>
        <v>0</v>
      </c>
      <c r="T209" s="56">
        <f t="shared" si="582"/>
        <v>0</v>
      </c>
      <c r="U209" s="56">
        <f t="shared" si="582"/>
        <v>0</v>
      </c>
      <c r="V209" s="56">
        <f t="shared" si="582"/>
        <v>94</v>
      </c>
      <c r="W209" s="56">
        <f t="shared" si="582"/>
        <v>355</v>
      </c>
      <c r="X209" s="56">
        <f t="shared" si="582"/>
        <v>0</v>
      </c>
      <c r="Y209" s="56">
        <f t="shared" si="582"/>
        <v>0</v>
      </c>
      <c r="Z209" s="56">
        <f t="shared" si="582"/>
        <v>0</v>
      </c>
      <c r="AA209" s="56">
        <f t="shared" si="582"/>
        <v>209801</v>
      </c>
      <c r="AB209" s="56">
        <f t="shared" si="582"/>
        <v>0</v>
      </c>
      <c r="AC209" s="56">
        <f t="shared" si="582"/>
        <v>2.8530744382339525E-2</v>
      </c>
      <c r="AD209" s="56">
        <f t="shared" si="582"/>
        <v>0</v>
      </c>
      <c r="AE209" s="56">
        <f t="shared" si="582"/>
        <v>1087.0518134715026</v>
      </c>
      <c r="AF209" s="56">
        <f t="shared" si="582"/>
        <v>0</v>
      </c>
      <c r="AG209" s="56">
        <f t="shared" si="582"/>
        <v>5299</v>
      </c>
      <c r="AH209" s="56">
        <f t="shared" si="582"/>
        <v>411261352.35152841</v>
      </c>
      <c r="AI209" s="56">
        <f t="shared" si="582"/>
        <v>-4.0210106864698426E-2</v>
      </c>
      <c r="AJ209" s="56">
        <f t="shared" si="582"/>
        <v>0</v>
      </c>
      <c r="AK209" s="56">
        <f t="shared" si="582"/>
        <v>0</v>
      </c>
      <c r="AL209" s="56">
        <f t="shared" si="582"/>
        <v>49180</v>
      </c>
      <c r="AM209" s="56">
        <f t="shared" si="582"/>
        <v>0</v>
      </c>
      <c r="AN209" s="56">
        <f t="shared" si="582"/>
        <v>0</v>
      </c>
      <c r="AO209" s="56">
        <f t="shared" si="582"/>
        <v>178263</v>
      </c>
      <c r="AP209" s="56">
        <f t="shared" si="582"/>
        <v>4609636</v>
      </c>
      <c r="AQ209" s="56">
        <f t="shared" si="582"/>
        <v>0</v>
      </c>
      <c r="AR209" s="56">
        <f t="shared" si="582"/>
        <v>1.0784009318366409E-2</v>
      </c>
      <c r="AS209" s="56">
        <f t="shared" si="582"/>
        <v>0</v>
      </c>
      <c r="AT209" s="56">
        <f t="shared" si="582"/>
        <v>0</v>
      </c>
      <c r="AU209" s="56">
        <f t="shared" si="582"/>
        <v>0</v>
      </c>
      <c r="AV209" s="56">
        <f t="shared" si="582"/>
        <v>0.62686234294226451</v>
      </c>
      <c r="AW209" s="56">
        <f t="shared" si="582"/>
        <v>0</v>
      </c>
      <c r="AX209" s="56">
        <f t="shared" si="582"/>
        <v>23884.124352331608</v>
      </c>
      <c r="AY209" s="56">
        <f t="shared" si="582"/>
        <v>0</v>
      </c>
      <c r="AZ209" s="56">
        <f t="shared" si="582"/>
        <v>0</v>
      </c>
      <c r="BA209" s="56">
        <f t="shared" si="582"/>
        <v>1066544</v>
      </c>
      <c r="BB209" s="56">
        <f t="shared" si="582"/>
        <v>0</v>
      </c>
      <c r="BC209" s="56">
        <f t="shared" si="582"/>
        <v>105401706</v>
      </c>
      <c r="BD209" s="56">
        <f t="shared" si="582"/>
        <v>0</v>
      </c>
      <c r="BE209" s="56">
        <f t="shared" si="582"/>
        <v>37418</v>
      </c>
      <c r="BF209" s="56">
        <f t="shared" si="582"/>
        <v>0</v>
      </c>
      <c r="BG209" s="56">
        <f t="shared" si="582"/>
        <v>3.5083409592103092E-2</v>
      </c>
      <c r="BH209" s="56">
        <f t="shared" si="582"/>
        <v>0</v>
      </c>
      <c r="BI209" s="56">
        <f t="shared" si="582"/>
        <v>0</v>
      </c>
      <c r="BJ209" s="56">
        <f t="shared" si="582"/>
        <v>0</v>
      </c>
      <c r="BK209" s="56">
        <f t="shared" si="582"/>
        <v>6491931</v>
      </c>
      <c r="BL209" s="56">
        <f t="shared" si="582"/>
        <v>0</v>
      </c>
      <c r="BM209" s="56">
        <f t="shared" si="582"/>
        <v>0</v>
      </c>
      <c r="BN209" s="56">
        <f t="shared" si="582"/>
        <v>546122.82901554403</v>
      </c>
      <c r="BO209" s="56">
        <f t="shared" si="582"/>
        <v>0</v>
      </c>
      <c r="BP209" s="56">
        <f t="shared" si="582"/>
        <v>7036198</v>
      </c>
      <c r="BQ209" s="56">
        <f t="shared" si="582"/>
        <v>0</v>
      </c>
      <c r="BR209" s="56">
        <f t="shared" si="582"/>
        <v>6.6756016264101076E-2</v>
      </c>
      <c r="BS209" s="56">
        <f t="shared" ref="BS209" si="583">+BS182</f>
        <v>0</v>
      </c>
      <c r="BT209" s="10"/>
      <c r="BU209" s="10"/>
      <c r="BV209" s="10"/>
      <c r="BW209" s="160"/>
      <c r="BX209" s="10"/>
      <c r="BY209" s="62"/>
      <c r="BZ209" s="10"/>
      <c r="CA209" s="160"/>
      <c r="CB209" s="61"/>
      <c r="CC209" s="61"/>
      <c r="CD209" s="61"/>
      <c r="CE209" s="61"/>
      <c r="CF209" s="61"/>
      <c r="CG209" s="157"/>
    </row>
    <row r="210" spans="2:85" x14ac:dyDescent="0.3">
      <c r="B210" t="s">
        <v>118</v>
      </c>
      <c r="D210" s="56">
        <f>+D201-D209</f>
        <v>-3636</v>
      </c>
      <c r="E210" s="56">
        <f t="shared" ref="E210:G210" si="584">+E192-E209</f>
        <v>0</v>
      </c>
      <c r="F210" s="56">
        <f t="shared" si="584"/>
        <v>0</v>
      </c>
      <c r="G210" s="56">
        <f t="shared" si="584"/>
        <v>0</v>
      </c>
      <c r="H210" s="56">
        <f t="shared" ref="H210:BR210" si="585">+H201-H209</f>
        <v>-37418</v>
      </c>
      <c r="I210" s="56">
        <f t="shared" si="585"/>
        <v>0</v>
      </c>
      <c r="J210" s="56">
        <f t="shared" si="585"/>
        <v>-4.7556674642074571E-4</v>
      </c>
      <c r="K210" s="56">
        <f t="shared" si="585"/>
        <v>0</v>
      </c>
      <c r="L210" s="56">
        <f t="shared" si="585"/>
        <v>0</v>
      </c>
      <c r="M210" s="56">
        <f t="shared" si="585"/>
        <v>0</v>
      </c>
      <c r="N210" s="56">
        <f t="shared" si="585"/>
        <v>-614</v>
      </c>
      <c r="O210" s="56">
        <f t="shared" si="585"/>
        <v>3.5576424870450865</v>
      </c>
      <c r="P210" s="56">
        <f t="shared" si="585"/>
        <v>0</v>
      </c>
      <c r="Q210" s="56">
        <f t="shared" si="585"/>
        <v>0</v>
      </c>
      <c r="R210" s="56">
        <f t="shared" si="585"/>
        <v>0</v>
      </c>
      <c r="S210" s="56">
        <f t="shared" si="585"/>
        <v>0</v>
      </c>
      <c r="T210" s="56">
        <f t="shared" si="585"/>
        <v>0</v>
      </c>
      <c r="U210" s="56">
        <f t="shared" si="585"/>
        <v>0</v>
      </c>
      <c r="V210" s="56">
        <f t="shared" si="585"/>
        <v>-1</v>
      </c>
      <c r="W210" s="56">
        <f t="shared" si="585"/>
        <v>-79</v>
      </c>
      <c r="X210" s="56">
        <f t="shared" si="585"/>
        <v>0</v>
      </c>
      <c r="Y210" s="56">
        <f t="shared" si="585"/>
        <v>0</v>
      </c>
      <c r="Z210" s="56">
        <f t="shared" si="585"/>
        <v>0</v>
      </c>
      <c r="AA210" s="56">
        <f t="shared" si="585"/>
        <v>-355</v>
      </c>
      <c r="AB210" s="56">
        <f t="shared" si="585"/>
        <v>0</v>
      </c>
      <c r="AC210" s="56">
        <f t="shared" si="585"/>
        <v>9.7396777252869299E-5</v>
      </c>
      <c r="AD210" s="56">
        <f t="shared" si="585"/>
        <v>0</v>
      </c>
      <c r="AE210" s="56">
        <f t="shared" si="585"/>
        <v>3.8127698618307022</v>
      </c>
      <c r="AF210" s="56">
        <f t="shared" si="585"/>
        <v>0</v>
      </c>
      <c r="AG210" s="56">
        <f t="shared" si="585"/>
        <v>29</v>
      </c>
      <c r="AH210" s="56">
        <f t="shared" si="585"/>
        <v>42660</v>
      </c>
      <c r="AI210" s="56">
        <f t="shared" si="585"/>
        <v>-1.1240845601030613E-2</v>
      </c>
      <c r="AJ210" s="56">
        <f t="shared" si="585"/>
        <v>0</v>
      </c>
      <c r="AK210" s="56">
        <f t="shared" si="585"/>
        <v>0</v>
      </c>
      <c r="AL210" s="56">
        <f t="shared" si="585"/>
        <v>-12832</v>
      </c>
      <c r="AM210" s="56">
        <f t="shared" si="585"/>
        <v>0</v>
      </c>
      <c r="AN210" s="56">
        <f t="shared" si="585"/>
        <v>0</v>
      </c>
      <c r="AO210" s="56">
        <f t="shared" si="585"/>
        <v>0</v>
      </c>
      <c r="AP210" s="56">
        <f t="shared" si="585"/>
        <v>-49180</v>
      </c>
      <c r="AQ210" s="56">
        <f t="shared" si="585"/>
        <v>0</v>
      </c>
      <c r="AR210" s="56">
        <f t="shared" si="585"/>
        <v>-2.7497183597951277E-3</v>
      </c>
      <c r="AS210" s="56">
        <f t="shared" si="585"/>
        <v>0</v>
      </c>
      <c r="AT210" s="56">
        <f t="shared" si="585"/>
        <v>0</v>
      </c>
      <c r="AU210" s="56">
        <f t="shared" si="585"/>
        <v>0</v>
      </c>
      <c r="AV210" s="56">
        <f t="shared" si="585"/>
        <v>-3.5160956035228397E-3</v>
      </c>
      <c r="AW210" s="56">
        <f t="shared" si="585"/>
        <v>0</v>
      </c>
      <c r="AX210" s="56">
        <f t="shared" si="585"/>
        <v>-131.74935233160795</v>
      </c>
      <c r="AY210" s="56">
        <f t="shared" si="585"/>
        <v>0</v>
      </c>
      <c r="AZ210" s="56">
        <f t="shared" si="585"/>
        <v>0</v>
      </c>
      <c r="BA210" s="56">
        <f t="shared" si="585"/>
        <v>-306905</v>
      </c>
      <c r="BB210" s="56">
        <f t="shared" si="585"/>
        <v>0</v>
      </c>
      <c r="BC210" s="56">
        <f t="shared" si="585"/>
        <v>-1066544</v>
      </c>
      <c r="BD210" s="56">
        <f t="shared" si="585"/>
        <v>0</v>
      </c>
      <c r="BE210" s="56">
        <f t="shared" si="585"/>
        <v>-3636</v>
      </c>
      <c r="BF210" s="56">
        <f t="shared" si="585"/>
        <v>0</v>
      </c>
      <c r="BG210" s="56">
        <f t="shared" si="585"/>
        <v>9.3877141916942144E-3</v>
      </c>
      <c r="BH210" s="56">
        <f t="shared" si="585"/>
        <v>0</v>
      </c>
      <c r="BI210" s="56">
        <f t="shared" si="585"/>
        <v>0</v>
      </c>
      <c r="BJ210" s="56">
        <f t="shared" si="585"/>
        <v>0</v>
      </c>
      <c r="BK210" s="56">
        <f t="shared" si="585"/>
        <v>-323378</v>
      </c>
      <c r="BL210" s="56">
        <f t="shared" si="585"/>
        <v>0</v>
      </c>
      <c r="BM210" s="56">
        <f t="shared" si="585"/>
        <v>0</v>
      </c>
      <c r="BN210" s="56">
        <f t="shared" si="585"/>
        <v>-2710.5269322106615</v>
      </c>
      <c r="BO210" s="56">
        <f t="shared" si="585"/>
        <v>0</v>
      </c>
      <c r="BP210" s="56">
        <f t="shared" si="585"/>
        <v>-37418</v>
      </c>
      <c r="BQ210" s="56">
        <f t="shared" si="585"/>
        <v>0</v>
      </c>
      <c r="BR210" s="56">
        <f t="shared" si="585"/>
        <v>3.237664844990551E-4</v>
      </c>
      <c r="BS210" s="56">
        <f t="shared" ref="BS210" si="586">+BS181-BS209</f>
        <v>0</v>
      </c>
      <c r="BT210" s="10"/>
      <c r="BU210" s="10"/>
      <c r="BV210" s="10"/>
      <c r="BW210" s="62"/>
      <c r="BX210" s="10"/>
      <c r="BY210" s="10"/>
      <c r="BZ210" s="10"/>
      <c r="CA210" s="62"/>
      <c r="CB210" s="61"/>
      <c r="CC210" s="61"/>
      <c r="CD210" s="61"/>
      <c r="CE210" s="61"/>
      <c r="CF210" s="61"/>
      <c r="CG210" s="117"/>
    </row>
    <row r="211" spans="2:85" x14ac:dyDescent="0.3">
      <c r="B211" s="56"/>
      <c r="D211" s="56"/>
      <c r="H211" s="56"/>
      <c r="O211" s="59"/>
      <c r="AA211" s="56"/>
      <c r="AC211" s="59"/>
      <c r="AE211" s="273"/>
      <c r="BA211" s="59"/>
      <c r="BG211" s="59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61"/>
      <c r="CC211" s="117"/>
      <c r="CD211" s="117"/>
      <c r="CE211" s="117"/>
      <c r="CF211" s="117"/>
    </row>
    <row r="212" spans="2:85" x14ac:dyDescent="0.3">
      <c r="B212" s="56"/>
      <c r="D212" s="56"/>
      <c r="H212" s="1"/>
      <c r="J212" t="s">
        <v>157</v>
      </c>
      <c r="O212" s="59"/>
      <c r="W212" s="56"/>
      <c r="AA212" s="55"/>
      <c r="BA212" s="59"/>
      <c r="BC212" s="56"/>
      <c r="BE212" s="59"/>
      <c r="BJ212" s="61"/>
      <c r="BK212" s="10">
        <f>+BK187</f>
        <v>4928581</v>
      </c>
      <c r="BL212" s="61"/>
      <c r="BM212" s="61"/>
      <c r="BN212" s="61"/>
      <c r="BO212" s="61"/>
      <c r="BP212" s="61"/>
      <c r="BQ212" s="61"/>
      <c r="BR212" s="61"/>
      <c r="BS212" s="10"/>
      <c r="BT212" s="10"/>
    </row>
    <row r="213" spans="2:85" x14ac:dyDescent="0.3">
      <c r="B213" s="56"/>
      <c r="D213" s="56"/>
      <c r="H213" s="56"/>
      <c r="W213" s="56"/>
      <c r="AA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BH213" s="108"/>
      <c r="BI213" s="108"/>
      <c r="BJ213" s="108"/>
      <c r="BK213" s="537"/>
      <c r="BL213" s="108"/>
      <c r="BM213" s="108"/>
      <c r="BN213" s="108"/>
      <c r="BO213" s="108"/>
      <c r="BP213" s="108"/>
      <c r="BQ213" s="108"/>
      <c r="BR213" s="90"/>
      <c r="BS213" s="1"/>
      <c r="BT213" s="1"/>
    </row>
    <row r="214" spans="2:85" x14ac:dyDescent="0.3">
      <c r="D214" s="1"/>
      <c r="E214" s="123" t="s">
        <v>28</v>
      </c>
      <c r="F214" s="124"/>
      <c r="H214" s="124" t="s">
        <v>67</v>
      </c>
      <c r="I214" s="116"/>
      <c r="J214" s="116"/>
      <c r="K214" s="61"/>
      <c r="L214" s="10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BH214" s="108"/>
      <c r="BI214" s="108"/>
      <c r="BJ214" s="108"/>
      <c r="BK214" s="537">
        <f>+BK194-BK209</f>
        <v>-728822</v>
      </c>
      <c r="BL214" s="108"/>
      <c r="BM214" s="108"/>
      <c r="BN214" s="108"/>
      <c r="BO214" s="108"/>
      <c r="BP214" s="108"/>
      <c r="BQ214" s="108"/>
      <c r="BR214" s="90"/>
      <c r="BS214" s="1"/>
      <c r="BT214" s="1"/>
    </row>
    <row r="215" spans="2:85" x14ac:dyDescent="0.3">
      <c r="B215" s="56"/>
      <c r="D215" s="1"/>
      <c r="E215" s="123" t="s">
        <v>40</v>
      </c>
      <c r="F215" s="124"/>
      <c r="H215" s="124" t="s">
        <v>42</v>
      </c>
      <c r="I215" s="10"/>
      <c r="J215" s="10"/>
      <c r="K215" s="61"/>
      <c r="L215" s="10"/>
      <c r="AD215" s="1"/>
      <c r="AE215" s="1"/>
      <c r="AF215" s="1"/>
      <c r="AG215" s="1"/>
      <c r="AH215" s="1"/>
      <c r="AI215" s="1"/>
      <c r="AJ215" s="1"/>
      <c r="AK215" s="1"/>
      <c r="AL215" s="1" t="s">
        <v>17</v>
      </c>
      <c r="AM215" s="1"/>
      <c r="AN215" s="1"/>
      <c r="AO215" s="1"/>
      <c r="BH215" s="109"/>
      <c r="BI215" s="109"/>
      <c r="BJ215" s="109"/>
      <c r="BK215" s="537">
        <f>+BK187-BK209</f>
        <v>-1563350</v>
      </c>
      <c r="BL215" s="109"/>
      <c r="BM215" s="109"/>
      <c r="BN215" s="109"/>
      <c r="BO215" s="109"/>
      <c r="BP215" s="109"/>
      <c r="BQ215" s="109"/>
      <c r="BR215" s="90"/>
      <c r="BS215" s="1"/>
      <c r="BT215" s="1"/>
    </row>
    <row r="216" spans="2:85" x14ac:dyDescent="0.3">
      <c r="B216" s="273"/>
      <c r="D216" s="1"/>
      <c r="E216" s="123" t="s">
        <v>47</v>
      </c>
      <c r="F216" s="124"/>
      <c r="H216" s="124" t="s">
        <v>57</v>
      </c>
      <c r="I216" s="10"/>
      <c r="J216" s="10"/>
      <c r="K216" s="61"/>
      <c r="L216" s="10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BH216" s="109"/>
      <c r="BI216" s="109"/>
      <c r="BJ216" s="109"/>
      <c r="BK216" s="537"/>
      <c r="BL216" s="109"/>
      <c r="BM216" s="109"/>
      <c r="BN216" s="109"/>
      <c r="BO216" s="109"/>
      <c r="BP216" s="109"/>
      <c r="BQ216" s="109"/>
      <c r="BR216" s="90"/>
      <c r="BS216" s="1"/>
      <c r="BT216" s="1"/>
    </row>
    <row r="217" spans="2:85" x14ac:dyDescent="0.3">
      <c r="D217" s="1"/>
      <c r="E217" s="123" t="s">
        <v>68</v>
      </c>
      <c r="F217" s="61"/>
      <c r="H217" s="93" t="s">
        <v>149</v>
      </c>
      <c r="I217" s="61"/>
      <c r="J217" s="61"/>
      <c r="K217" s="61"/>
      <c r="L217" s="6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BA217">
        <v>400000</v>
      </c>
      <c r="BH217" s="109"/>
      <c r="BI217" s="109"/>
      <c r="BJ217" s="109"/>
      <c r="BK217" s="540"/>
      <c r="BL217" s="109"/>
      <c r="BM217" s="109"/>
      <c r="BN217" s="109"/>
      <c r="BO217" s="109"/>
      <c r="BP217" s="109"/>
      <c r="BQ217" s="109"/>
      <c r="BR217" s="90"/>
      <c r="BS217" s="1"/>
      <c r="BT217" s="1"/>
    </row>
    <row r="218" spans="2:85" x14ac:dyDescent="0.3">
      <c r="E218" s="123" t="s">
        <v>150</v>
      </c>
      <c r="H218" s="93" t="s">
        <v>151</v>
      </c>
      <c r="AD218" s="1"/>
      <c r="AE218" s="1"/>
      <c r="AF218" s="1"/>
      <c r="AG218" s="1"/>
      <c r="AH218" s="1"/>
      <c r="AI218" s="1"/>
      <c r="BA218">
        <v>0.05</v>
      </c>
      <c r="BD218" s="90"/>
      <c r="BE218" s="90"/>
      <c r="BF218" s="90"/>
      <c r="BG218" s="90"/>
      <c r="BH218" s="90"/>
      <c r="BI218" s="90"/>
      <c r="BJ218" s="90"/>
      <c r="BK218" s="538"/>
      <c r="BL218" s="90"/>
      <c r="BM218" s="90"/>
      <c r="BN218" s="90"/>
      <c r="BO218" s="90"/>
      <c r="BP218" s="90"/>
      <c r="BQ218" s="90"/>
      <c r="BR218" s="90"/>
      <c r="BS218" s="1"/>
      <c r="BT218" s="1"/>
    </row>
    <row r="219" spans="2:85" x14ac:dyDescent="0.3">
      <c r="AD219" s="1"/>
      <c r="AE219" s="1"/>
      <c r="AF219" s="1"/>
      <c r="AG219" s="1"/>
      <c r="AH219" s="1"/>
      <c r="AI219" s="1"/>
      <c r="BA219">
        <f>+BA217*BA218</f>
        <v>20000</v>
      </c>
      <c r="BK219" s="539"/>
    </row>
    <row r="220" spans="2:85" ht="15" thickBot="1" x14ac:dyDescent="0.35">
      <c r="D220" s="56"/>
      <c r="AD220" s="1"/>
      <c r="AE220" s="1"/>
      <c r="AF220" s="1"/>
      <c r="AG220" s="1"/>
      <c r="AH220" s="1"/>
      <c r="AI220" s="528"/>
      <c r="AJ220" s="529"/>
      <c r="AK220" s="529"/>
      <c r="AL220" s="529"/>
      <c r="AM220" s="529"/>
      <c r="AN220" s="529"/>
      <c r="AO220" s="529"/>
      <c r="AP220" s="529"/>
      <c r="AQ220" s="529"/>
      <c r="AR220" s="529"/>
      <c r="AS220" s="529"/>
      <c r="AT220" s="529"/>
      <c r="AU220" s="529"/>
      <c r="AV220" s="529"/>
      <c r="AW220" s="529"/>
      <c r="AX220" s="529"/>
      <c r="AZ220" s="118"/>
      <c r="BA220" s="118"/>
      <c r="BB220" s="118"/>
      <c r="BC220" s="118"/>
      <c r="BK220" s="1"/>
    </row>
    <row r="221" spans="2:85" x14ac:dyDescent="0.3">
      <c r="D221" s="710">
        <v>4900</v>
      </c>
      <c r="J221" s="530">
        <f>+BR125</f>
        <v>7.4075240343216359E-2</v>
      </c>
      <c r="V221" s="118"/>
      <c r="AA221" s="56"/>
      <c r="AD221" s="1"/>
      <c r="AE221" s="1"/>
      <c r="AF221" s="1"/>
      <c r="AG221" s="1"/>
      <c r="AH221" s="1"/>
      <c r="AI221" s="528"/>
      <c r="AJ221" s="507"/>
      <c r="AK221" s="508"/>
      <c r="AL221" s="508"/>
      <c r="AM221" s="508"/>
      <c r="AN221" s="508"/>
      <c r="AO221" s="508"/>
      <c r="AP221" s="508"/>
      <c r="AQ221" s="508"/>
      <c r="AR221" s="508"/>
      <c r="AS221" s="508"/>
      <c r="AT221" s="508"/>
      <c r="AU221" s="508"/>
      <c r="AV221" s="508"/>
      <c r="AW221" s="509"/>
      <c r="AX221" s="529"/>
      <c r="AZ221" s="118"/>
      <c r="BA221" s="118"/>
      <c r="BB221" s="118"/>
      <c r="BC221" s="118"/>
      <c r="BK221" s="56"/>
    </row>
    <row r="222" spans="2:85" x14ac:dyDescent="0.3">
      <c r="D222" s="1">
        <v>1000000</v>
      </c>
      <c r="J222" s="232">
        <f>+AC125</f>
        <v>3.9597054700687709E-2</v>
      </c>
      <c r="AD222" s="1"/>
      <c r="AE222" s="1"/>
      <c r="AF222" s="1"/>
      <c r="AG222" s="1"/>
      <c r="AH222" s="1"/>
      <c r="AI222" s="528"/>
      <c r="AJ222" s="510"/>
      <c r="AK222" s="610" t="s">
        <v>156</v>
      </c>
      <c r="AL222" s="610"/>
      <c r="AM222" s="610"/>
      <c r="AN222" s="610"/>
      <c r="AO222" s="610"/>
      <c r="AP222" s="610"/>
      <c r="AQ222" s="610"/>
      <c r="AR222" s="610"/>
      <c r="AS222" s="610"/>
      <c r="AT222" s="610"/>
      <c r="AU222" s="610"/>
      <c r="AV222" s="610"/>
      <c r="AW222" s="511"/>
      <c r="AX222" s="529"/>
      <c r="AZ222" s="118"/>
      <c r="BA222" s="118"/>
      <c r="BB222" s="118"/>
      <c r="BC222" s="118"/>
    </row>
    <row r="223" spans="2:85" ht="15.6" x14ac:dyDescent="0.3">
      <c r="J223" s="57">
        <f>+J221*J222</f>
        <v>2.9331613438369269E-3</v>
      </c>
      <c r="AD223" s="1"/>
      <c r="AE223" s="1"/>
      <c r="AF223" s="1"/>
      <c r="AG223" s="1"/>
      <c r="AH223" s="1"/>
      <c r="AI223" s="528"/>
      <c r="AJ223" s="510"/>
      <c r="AK223" s="610" t="s">
        <v>155</v>
      </c>
      <c r="AL223" s="610"/>
      <c r="AM223" s="610"/>
      <c r="AN223" s="610"/>
      <c r="AO223" s="516"/>
      <c r="AP223" s="517" t="s">
        <v>20</v>
      </c>
      <c r="AQ223" s="516"/>
      <c r="AR223" s="517" t="s">
        <v>4</v>
      </c>
      <c r="AS223" s="518"/>
      <c r="AT223" s="518"/>
      <c r="AU223" s="518"/>
      <c r="AV223" s="522" t="s">
        <v>10</v>
      </c>
      <c r="AW223" s="511"/>
      <c r="AX223" s="529"/>
      <c r="AZ223" s="118"/>
      <c r="BA223" s="118"/>
      <c r="BB223" s="118"/>
      <c r="BC223" s="118"/>
    </row>
    <row r="224" spans="2:85" ht="15.6" x14ac:dyDescent="0.3">
      <c r="AD224" s="1"/>
      <c r="AE224" s="1"/>
      <c r="AF224" s="1"/>
      <c r="AG224" s="1"/>
      <c r="AH224" s="1"/>
      <c r="AI224" s="528"/>
      <c r="AJ224" s="510"/>
      <c r="AK224" s="609" t="s">
        <v>152</v>
      </c>
      <c r="AL224" s="609"/>
      <c r="AM224" s="609"/>
      <c r="AN224" s="609"/>
      <c r="AO224" s="516"/>
      <c r="AP224" s="519">
        <f>+AH50</f>
        <v>898992</v>
      </c>
      <c r="AQ224" s="520"/>
      <c r="AR224" s="519">
        <f>+AH51</f>
        <v>55687</v>
      </c>
      <c r="AS224" s="521"/>
      <c r="AT224" s="521"/>
      <c r="AU224" s="521"/>
      <c r="AV224" s="535">
        <f>+AR224/AP224</f>
        <v>6.194382152455194E-2</v>
      </c>
      <c r="AW224" s="511"/>
      <c r="AX224" s="529"/>
      <c r="AZ224" s="118"/>
      <c r="BA224" s="118"/>
      <c r="BB224" s="118"/>
      <c r="BC224" s="118"/>
    </row>
    <row r="225" spans="2:87" ht="15.6" x14ac:dyDescent="0.3">
      <c r="D225" s="277">
        <f>+D221/D222</f>
        <v>4.8999999999999998E-3</v>
      </c>
      <c r="AD225" s="1"/>
      <c r="AE225" s="1"/>
      <c r="AF225" s="1"/>
      <c r="AG225" s="1"/>
      <c r="AH225" s="1"/>
      <c r="AI225" s="528"/>
      <c r="AJ225" s="510"/>
      <c r="AK225" s="575" t="s">
        <v>153</v>
      </c>
      <c r="AL225" s="576"/>
      <c r="AM225" s="576"/>
      <c r="AN225" s="576"/>
      <c r="AO225" s="65"/>
      <c r="AP225" s="512">
        <f>+AG83</f>
        <v>742147</v>
      </c>
      <c r="AQ225" s="65"/>
      <c r="AR225" s="512">
        <f>+AG84</f>
        <v>42339</v>
      </c>
      <c r="AS225" s="65"/>
      <c r="AT225" s="65"/>
      <c r="AU225" s="65"/>
      <c r="AV225" s="533">
        <f>+AR225/AP225</f>
        <v>5.7049344671608188E-2</v>
      </c>
      <c r="AW225" s="511"/>
      <c r="AX225" s="529"/>
      <c r="AZ225" s="118"/>
      <c r="BA225" s="118"/>
      <c r="BB225" s="118"/>
      <c r="BC225" s="118"/>
    </row>
    <row r="226" spans="2:87" ht="15.6" x14ac:dyDescent="0.3">
      <c r="AD226" s="1"/>
      <c r="AE226" s="1"/>
      <c r="AF226" s="1"/>
      <c r="AG226" s="1"/>
      <c r="AH226" s="1"/>
      <c r="AI226" s="528"/>
      <c r="AJ226" s="510"/>
      <c r="AK226" s="576" t="s">
        <v>154</v>
      </c>
      <c r="AL226" s="576"/>
      <c r="AM226" s="576"/>
      <c r="AN226" s="576"/>
      <c r="AO226" s="65"/>
      <c r="AP226" s="512">
        <f>+AH113</f>
        <v>869627</v>
      </c>
      <c r="AQ226" s="65"/>
      <c r="AR226" s="512">
        <f>+AH114</f>
        <v>21252</v>
      </c>
      <c r="AS226" s="65"/>
      <c r="AT226" s="65"/>
      <c r="AU226" s="65"/>
      <c r="AV226" s="533">
        <f>+AR226/AP226</f>
        <v>2.4438063675575852E-2</v>
      </c>
      <c r="AW226" s="511"/>
      <c r="AX226" s="529"/>
      <c r="AZ226" s="118"/>
      <c r="BA226" s="118"/>
      <c r="BB226" s="118"/>
      <c r="BC226" s="118"/>
    </row>
    <row r="227" spans="2:87" ht="15.6" x14ac:dyDescent="0.3">
      <c r="D227" s="471">
        <v>32000</v>
      </c>
      <c r="AD227" s="1"/>
      <c r="AE227" s="1"/>
      <c r="AF227" s="1"/>
      <c r="AG227" s="1"/>
      <c r="AH227" s="1"/>
      <c r="AI227" s="528"/>
      <c r="AJ227" s="510"/>
      <c r="AK227" s="576" t="s">
        <v>158</v>
      </c>
      <c r="AL227" s="576"/>
      <c r="AM227" s="576"/>
      <c r="AN227" s="576"/>
      <c r="AO227" s="65"/>
      <c r="AP227" s="512">
        <f>+AG230</f>
        <v>1970617</v>
      </c>
      <c r="AQ227" s="65"/>
      <c r="AR227" s="512">
        <f>+AG232</f>
        <v>25901</v>
      </c>
      <c r="AS227" s="65"/>
      <c r="AT227" s="65"/>
      <c r="AU227" s="65"/>
      <c r="AV227" s="533">
        <f>+AR227/AP227</f>
        <v>1.3143599187462607E-2</v>
      </c>
      <c r="AW227" s="511"/>
      <c r="AX227" s="529"/>
    </row>
    <row r="228" spans="2:87" ht="15" thickBot="1" x14ac:dyDescent="0.35">
      <c r="B228" s="470"/>
      <c r="D228" s="277"/>
      <c r="AD228" s="1"/>
      <c r="AE228" s="1"/>
      <c r="AF228" s="1"/>
      <c r="AG228" s="1"/>
      <c r="AH228" s="1"/>
      <c r="AI228" s="528"/>
      <c r="AJ228" s="510"/>
      <c r="AK228" s="523"/>
      <c r="AL228" s="523"/>
      <c r="AM228" s="523"/>
      <c r="AN228" s="523"/>
      <c r="AO228" s="524"/>
      <c r="AP228" s="525"/>
      <c r="AQ228" s="524"/>
      <c r="AR228" s="525"/>
      <c r="AS228" s="524"/>
      <c r="AT228" s="524"/>
      <c r="AU228" s="524"/>
      <c r="AV228" s="526"/>
      <c r="AW228" s="511"/>
      <c r="AX228" s="529"/>
    </row>
    <row r="229" spans="2:87" ht="15.6" x14ac:dyDescent="0.3">
      <c r="B229" s="470"/>
      <c r="D229" s="277"/>
      <c r="AD229" s="1"/>
      <c r="AE229" s="1"/>
      <c r="AF229" s="1"/>
      <c r="AG229" s="1"/>
      <c r="AH229" s="1"/>
      <c r="AI229" s="528"/>
      <c r="AJ229" s="510"/>
      <c r="AK229" s="609" t="s">
        <v>152</v>
      </c>
      <c r="AL229" s="609"/>
      <c r="AM229" s="609"/>
      <c r="AN229" s="609"/>
      <c r="AO229" s="65"/>
      <c r="AP229" s="512"/>
      <c r="AQ229" s="65"/>
      <c r="AR229" s="512">
        <f>+AR224</f>
        <v>55687</v>
      </c>
      <c r="AS229" s="65"/>
      <c r="AT229" s="65"/>
      <c r="AU229" s="65"/>
      <c r="AV229" s="156"/>
      <c r="AW229" s="511"/>
      <c r="AX229" s="529"/>
    </row>
    <row r="230" spans="2:87" ht="15.6" x14ac:dyDescent="0.3">
      <c r="B230" s="470"/>
      <c r="D230" s="277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10"/>
      <c r="AE230" s="10"/>
      <c r="AF230" s="1"/>
      <c r="AG230" s="33">
        <f>SUM(D113:D143)</f>
        <v>1970617</v>
      </c>
      <c r="AH230" s="1"/>
      <c r="AI230" s="528"/>
      <c r="AJ230" s="510"/>
      <c r="AK230" s="576" t="s">
        <v>158</v>
      </c>
      <c r="AL230" s="576"/>
      <c r="AM230" s="576"/>
      <c r="AN230" s="64"/>
      <c r="AO230" s="65"/>
      <c r="AP230" s="512"/>
      <c r="AQ230" s="65"/>
      <c r="AR230" s="512">
        <f>+AR227</f>
        <v>25901</v>
      </c>
      <c r="AS230" s="65"/>
      <c r="AT230" s="65"/>
      <c r="AU230" s="65"/>
      <c r="AV230" s="156"/>
      <c r="AW230" s="511"/>
      <c r="AX230" s="529"/>
    </row>
    <row r="231" spans="2:87" ht="15.6" x14ac:dyDescent="0.3">
      <c r="B231" s="470"/>
      <c r="D231" s="277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10"/>
      <c r="AE231" s="10"/>
      <c r="AF231" s="1"/>
      <c r="AG231" s="33">
        <f>SUM(W125:W138)</f>
        <v>12117</v>
      </c>
      <c r="AH231" s="1"/>
      <c r="AI231" s="528"/>
      <c r="AJ231" s="510"/>
      <c r="AK231" s="64"/>
      <c r="AL231" s="541" t="s">
        <v>3</v>
      </c>
      <c r="AM231" s="64"/>
      <c r="AN231" s="64"/>
      <c r="AO231" s="65"/>
      <c r="AP231" s="512"/>
      <c r="AQ231" s="65"/>
      <c r="AR231" s="512">
        <f>+AR229-AR230</f>
        <v>29786</v>
      </c>
      <c r="AS231" s="65"/>
      <c r="AT231" s="65"/>
      <c r="AU231" s="65"/>
      <c r="AV231" s="527">
        <f>+AR231/AR229</f>
        <v>0.53488246808052153</v>
      </c>
      <c r="AW231" s="511"/>
      <c r="AX231" s="529"/>
    </row>
    <row r="232" spans="2:87" ht="15" thickBot="1" x14ac:dyDescent="0.35">
      <c r="D232" s="470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10"/>
      <c r="AE232" s="10"/>
      <c r="AF232" s="1"/>
      <c r="AG232" s="33">
        <f>SUM(W113:W143)</f>
        <v>25901</v>
      </c>
      <c r="AH232" s="1"/>
      <c r="AI232" s="528"/>
      <c r="AJ232" s="513"/>
      <c r="AK232" s="514"/>
      <c r="AL232" s="514"/>
      <c r="AM232" s="514"/>
      <c r="AN232" s="514"/>
      <c r="AO232" s="514"/>
      <c r="AP232" s="514"/>
      <c r="AQ232" s="514"/>
      <c r="AR232" s="514"/>
      <c r="AS232" s="514"/>
      <c r="AT232" s="514"/>
      <c r="AU232" s="514"/>
      <c r="AV232" s="514"/>
      <c r="AW232" s="515"/>
      <c r="AX232" s="529"/>
      <c r="BD232" s="90"/>
      <c r="BE232" s="90"/>
      <c r="BF232" s="90"/>
      <c r="BG232" s="90"/>
      <c r="BH232" s="90"/>
      <c r="BI232" s="90"/>
      <c r="BJ232" s="90"/>
      <c r="BK232" s="90"/>
      <c r="BL232" s="90"/>
      <c r="BM232" s="90"/>
      <c r="BN232" s="90"/>
      <c r="BO232" s="90"/>
      <c r="BP232" s="90"/>
      <c r="BQ232" s="90"/>
      <c r="BR232" s="90"/>
      <c r="BS232" s="1"/>
      <c r="BT232" s="1"/>
      <c r="BU232" s="1"/>
      <c r="BV232" s="1"/>
      <c r="BW232" s="90"/>
      <c r="BX232" s="90"/>
      <c r="BY232" s="90"/>
      <c r="BZ232" s="90"/>
      <c r="CA232" s="90"/>
      <c r="CB232" s="90"/>
      <c r="CC232" s="90"/>
      <c r="CD232" s="90"/>
      <c r="CE232" s="90"/>
      <c r="CF232" s="90"/>
      <c r="CG232" s="90"/>
      <c r="CH232" s="90"/>
      <c r="CI232" s="90"/>
    </row>
    <row r="233" spans="2:87" x14ac:dyDescent="0.3"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10"/>
      <c r="AE233" s="10"/>
      <c r="AF233" s="10"/>
      <c r="AG233" s="10"/>
      <c r="AH233" s="10"/>
      <c r="AI233" s="528"/>
      <c r="AJ233" s="529"/>
      <c r="AK233" s="529"/>
      <c r="AL233" s="529"/>
      <c r="AM233" s="529"/>
      <c r="AN233" s="529"/>
      <c r="AO233" s="529"/>
      <c r="AP233" s="529"/>
      <c r="AQ233" s="529"/>
      <c r="AR233" s="529"/>
      <c r="AS233" s="529"/>
      <c r="AT233" s="529"/>
      <c r="AU233" s="529"/>
      <c r="AV233" s="529"/>
      <c r="AW233" s="529"/>
      <c r="AX233" s="529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89"/>
      <c r="BX233" s="89"/>
      <c r="BY233" s="89"/>
      <c r="BZ233" s="89"/>
      <c r="CA233" s="121"/>
      <c r="CB233" s="1"/>
      <c r="CC233" s="1"/>
      <c r="CD233" s="1"/>
      <c r="CE233" s="1"/>
      <c r="CF233" s="1"/>
      <c r="CG233" s="1"/>
      <c r="CH233" s="1"/>
      <c r="CI233" s="1"/>
    </row>
    <row r="234" spans="2:87" x14ac:dyDescent="0.3">
      <c r="D234">
        <v>10</v>
      </c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10"/>
      <c r="AE234" s="10"/>
      <c r="AF234" s="10"/>
      <c r="AG234" s="10"/>
      <c r="AH234" s="10"/>
      <c r="AI234" s="10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89"/>
      <c r="BX234" s="89"/>
      <c r="BY234" s="89"/>
      <c r="BZ234" s="89"/>
      <c r="CA234" s="89"/>
      <c r="CB234" s="1"/>
      <c r="CC234" s="1"/>
      <c r="CD234" s="1"/>
      <c r="CE234" s="1"/>
      <c r="CF234" s="1"/>
      <c r="CG234" s="1"/>
      <c r="CH234" s="1"/>
      <c r="CI234" s="1"/>
    </row>
    <row r="235" spans="2:87" x14ac:dyDescent="0.3">
      <c r="D235" s="1">
        <v>77000000</v>
      </c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10"/>
      <c r="AE235" s="10"/>
      <c r="AF235" s="10"/>
      <c r="AG235" s="10"/>
      <c r="AH235" s="10"/>
      <c r="AI235" s="10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89"/>
      <c r="BX235" s="89"/>
      <c r="BY235" s="89"/>
      <c r="BZ235" s="89"/>
      <c r="CA235" s="89"/>
      <c r="CB235" s="1"/>
      <c r="CC235" s="1"/>
      <c r="CD235" s="1"/>
      <c r="CE235" s="1"/>
      <c r="CF235" s="1"/>
      <c r="CG235" s="1"/>
    </row>
    <row r="236" spans="2:87" x14ac:dyDescent="0.3">
      <c r="D236" s="57">
        <f>+D235/D238</f>
        <v>0.23262839879154079</v>
      </c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10"/>
      <c r="AE236" s="10"/>
      <c r="AF236" s="10"/>
      <c r="AG236" s="545"/>
      <c r="AH236" s="10"/>
      <c r="AI236" s="10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89"/>
      <c r="BX236" s="89"/>
      <c r="BY236" s="89"/>
      <c r="BZ236" s="89"/>
      <c r="CA236" s="89"/>
      <c r="CB236" s="1"/>
      <c r="CC236" s="1"/>
      <c r="CD236" s="1"/>
      <c r="CE236" s="1"/>
      <c r="CF236" s="1"/>
      <c r="CG236" s="1"/>
    </row>
    <row r="237" spans="2:87" x14ac:dyDescent="0.3"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10"/>
      <c r="AE237" s="10"/>
      <c r="AF237" s="551"/>
      <c r="AG237" s="570"/>
      <c r="AH237" s="551"/>
      <c r="AI237" s="551"/>
      <c r="AJ237" s="544"/>
      <c r="AK237" s="544"/>
      <c r="AL237" s="544"/>
      <c r="AM237" s="544"/>
      <c r="AN237" s="544"/>
      <c r="AO237" s="544"/>
      <c r="AP237" s="544"/>
      <c r="AQ237" s="544"/>
      <c r="AR237" s="544"/>
      <c r="AS237" s="544"/>
      <c r="AT237" s="544"/>
      <c r="AU237" s="544"/>
      <c r="AV237" s="544"/>
      <c r="AW237" s="544"/>
      <c r="AX237" s="544"/>
      <c r="AY237" s="544"/>
      <c r="AZ237" s="544"/>
      <c r="BA237" s="544"/>
      <c r="BB237" s="544"/>
      <c r="BC237" s="544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89"/>
      <c r="BX237" s="89"/>
      <c r="BY237" s="122"/>
      <c r="BZ237" s="89"/>
      <c r="CA237" s="89"/>
    </row>
    <row r="238" spans="2:87" x14ac:dyDescent="0.3">
      <c r="D238" s="1">
        <v>331000000</v>
      </c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10"/>
      <c r="AE238" s="10"/>
      <c r="AF238" s="551"/>
      <c r="AG238" s="571"/>
      <c r="AH238" s="551"/>
      <c r="AI238" s="551"/>
      <c r="AJ238" s="568"/>
      <c r="AK238" s="568"/>
      <c r="AL238" s="569"/>
      <c r="AM238" s="569"/>
      <c r="AN238" s="569"/>
      <c r="AO238" s="569"/>
      <c r="AP238" s="569"/>
      <c r="AQ238" s="569"/>
      <c r="AR238" s="569"/>
      <c r="AS238" s="569"/>
      <c r="AT238" s="569"/>
      <c r="AU238" s="569"/>
      <c r="AV238" s="569"/>
      <c r="AW238" s="569"/>
      <c r="AX238" s="569"/>
      <c r="AY238" s="569"/>
      <c r="AZ238" s="569"/>
      <c r="BA238" s="569"/>
      <c r="BB238" s="568"/>
      <c r="BC238" s="568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89"/>
      <c r="BX238" s="89"/>
      <c r="BY238" s="89"/>
      <c r="BZ238" s="89"/>
      <c r="CA238" s="89"/>
    </row>
    <row r="239" spans="2:87" x14ac:dyDescent="0.3"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10"/>
      <c r="AE239" s="10"/>
      <c r="AF239" s="551"/>
      <c r="AG239" s="570"/>
      <c r="AH239" s="551"/>
      <c r="AI239" s="551"/>
      <c r="AJ239" s="568"/>
      <c r="AK239" s="568"/>
      <c r="AL239" s="150"/>
      <c r="AM239" s="150"/>
      <c r="AN239" s="150"/>
      <c r="AO239" s="150"/>
      <c r="AP239" s="150"/>
      <c r="AQ239" s="150"/>
      <c r="AR239" s="150"/>
      <c r="AS239" s="90"/>
      <c r="AT239" s="90"/>
      <c r="AU239" s="90"/>
      <c r="AV239" s="110"/>
      <c r="AW239" s="110"/>
      <c r="AX239" s="110"/>
      <c r="AY239" s="110"/>
      <c r="AZ239" s="568"/>
      <c r="BA239" s="568"/>
      <c r="BB239" s="574"/>
      <c r="BC239" s="568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89"/>
      <c r="BX239" s="89"/>
      <c r="BY239" s="89"/>
      <c r="BZ239" s="89"/>
      <c r="CA239" s="89"/>
    </row>
    <row r="240" spans="2:87" x14ac:dyDescent="0.3">
      <c r="D240" s="468">
        <v>7.1999999999999995E-2</v>
      </c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10"/>
      <c r="AE240" s="10"/>
      <c r="AF240" s="551"/>
      <c r="AG240" s="570">
        <v>44031</v>
      </c>
      <c r="AH240" s="551"/>
      <c r="AI240" s="551"/>
      <c r="AJ240" s="568"/>
      <c r="AK240" s="568"/>
      <c r="AL240" s="150"/>
      <c r="AM240" s="150"/>
      <c r="AN240" s="150"/>
      <c r="AO240" s="150"/>
      <c r="AP240" s="150"/>
      <c r="AQ240" s="150"/>
      <c r="AR240" s="150"/>
      <c r="AS240" s="150"/>
      <c r="AT240" s="110"/>
      <c r="AU240" s="90"/>
      <c r="AV240" s="110"/>
      <c r="AW240" s="110"/>
      <c r="AX240" s="110"/>
      <c r="AY240" s="110"/>
      <c r="AZ240" s="568"/>
      <c r="BA240" s="568"/>
      <c r="BB240" s="574"/>
      <c r="BC240" s="568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89"/>
      <c r="BX240" s="89"/>
      <c r="BY240" s="89"/>
      <c r="BZ240" s="89"/>
      <c r="CA240" s="89"/>
    </row>
    <row r="241" spans="2:79" x14ac:dyDescent="0.3"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10"/>
      <c r="AE241" s="10"/>
      <c r="AF241" s="551"/>
      <c r="AG241" s="570">
        <v>44038</v>
      </c>
      <c r="AH241" s="551"/>
      <c r="AI241" s="551"/>
      <c r="AJ241" s="568"/>
      <c r="AK241" s="568"/>
      <c r="AL241" s="90"/>
      <c r="AM241" s="90"/>
      <c r="AN241" s="151"/>
      <c r="AO241" s="151"/>
      <c r="AP241" s="151"/>
      <c r="AQ241" s="151"/>
      <c r="AR241" s="151"/>
      <c r="AS241" s="90"/>
      <c r="AT241" s="90"/>
      <c r="AU241" s="90"/>
      <c r="AV241" s="110"/>
      <c r="AW241" s="110"/>
      <c r="AX241" s="110"/>
      <c r="AY241" s="110"/>
      <c r="AZ241" s="568"/>
      <c r="BA241" s="568"/>
      <c r="BB241" s="574"/>
      <c r="BC241" s="568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89"/>
      <c r="BX241" s="89"/>
      <c r="BY241" s="89"/>
      <c r="BZ241" s="89"/>
      <c r="CA241" s="89"/>
    </row>
    <row r="242" spans="2:79" x14ac:dyDescent="0.3">
      <c r="D242" s="277">
        <v>4.2000000000000003E-2</v>
      </c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10"/>
      <c r="AE242" s="10"/>
      <c r="AF242" s="551"/>
      <c r="AG242" s="570">
        <v>44045</v>
      </c>
      <c r="AH242" s="551"/>
      <c r="AI242" s="551"/>
      <c r="AJ242" s="568"/>
      <c r="AK242" s="568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10"/>
      <c r="AW242" s="110"/>
      <c r="AX242" s="110"/>
      <c r="AY242" s="110"/>
      <c r="AZ242" s="568"/>
      <c r="BA242" s="568"/>
      <c r="BB242" s="574"/>
      <c r="BC242" s="568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</row>
    <row r="243" spans="2:79" x14ac:dyDescent="0.3">
      <c r="D243" s="710">
        <f>+D238*D240*D242</f>
        <v>1000944.0000000001</v>
      </c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10"/>
      <c r="AE243" s="10"/>
      <c r="AF243" s="551"/>
      <c r="AG243" s="570">
        <v>44052</v>
      </c>
      <c r="AH243" s="551"/>
      <c r="AI243" s="551"/>
      <c r="AJ243" s="568"/>
      <c r="AK243" s="568"/>
      <c r="AL243" s="90"/>
      <c r="AM243" s="90"/>
      <c r="AN243" s="151"/>
      <c r="AO243" s="151"/>
      <c r="AP243" s="151"/>
      <c r="AQ243" s="151"/>
      <c r="AR243" s="151"/>
      <c r="AS243" s="151"/>
      <c r="AT243" s="151"/>
      <c r="AU243" s="90"/>
      <c r="AV243" s="110"/>
      <c r="AW243" s="110"/>
      <c r="AX243" s="110"/>
      <c r="AY243" s="110"/>
      <c r="AZ243" s="568"/>
      <c r="BA243" s="568"/>
      <c r="BB243" s="574"/>
      <c r="BC243" s="568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</row>
    <row r="244" spans="2:79" x14ac:dyDescent="0.3"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10"/>
      <c r="AE244" s="10"/>
      <c r="AF244" s="551"/>
      <c r="AG244" s="570"/>
      <c r="AH244" s="551"/>
      <c r="AI244" s="551"/>
      <c r="AJ244" s="568"/>
      <c r="AK244" s="568"/>
      <c r="AL244" s="90"/>
      <c r="AM244" s="90"/>
      <c r="AN244" s="151"/>
      <c r="AO244" s="151"/>
      <c r="AP244" s="151"/>
      <c r="AQ244" s="151"/>
      <c r="AR244" s="151"/>
      <c r="AS244" s="151"/>
      <c r="AT244" s="151"/>
      <c r="AU244" s="90"/>
      <c r="AV244" s="110"/>
      <c r="AW244" s="110"/>
      <c r="AX244" s="110"/>
      <c r="AY244" s="110"/>
      <c r="AZ244" s="568"/>
      <c r="BA244" s="568"/>
      <c r="BB244" s="574"/>
      <c r="BC244" s="568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</row>
    <row r="245" spans="2:79" x14ac:dyDescent="0.3"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10"/>
      <c r="AE245" s="10"/>
      <c r="AF245" s="551"/>
      <c r="AG245" s="570"/>
      <c r="AH245" s="551"/>
      <c r="AI245" s="551"/>
      <c r="AJ245" s="568"/>
      <c r="AK245" s="568"/>
      <c r="AL245" s="90"/>
      <c r="AM245" s="90"/>
      <c r="AN245" s="151"/>
      <c r="AO245" s="151"/>
      <c r="AP245" s="151"/>
      <c r="AQ245" s="151"/>
      <c r="AR245" s="151"/>
      <c r="AS245" s="151"/>
      <c r="AT245" s="151"/>
      <c r="AU245" s="90"/>
      <c r="AV245" s="110"/>
      <c r="AW245" s="110"/>
      <c r="AX245" s="110"/>
      <c r="AY245" s="110"/>
      <c r="AZ245" s="568"/>
      <c r="BA245" s="568"/>
      <c r="BB245" s="574"/>
      <c r="BC245" s="568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</row>
    <row r="246" spans="2:79" x14ac:dyDescent="0.3"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10"/>
      <c r="AE246" s="10"/>
      <c r="AF246" s="551"/>
      <c r="AG246" s="572"/>
      <c r="AH246" s="551"/>
      <c r="AI246" s="551"/>
      <c r="AJ246" s="568"/>
      <c r="AK246" s="568"/>
      <c r="AL246" s="90"/>
      <c r="AM246" s="90"/>
      <c r="AN246" s="151"/>
      <c r="AO246" s="151"/>
      <c r="AP246" s="151"/>
      <c r="AQ246" s="151"/>
      <c r="AR246" s="151"/>
      <c r="AS246" s="151"/>
      <c r="AT246" s="151"/>
      <c r="AU246" s="90"/>
      <c r="AV246" s="110"/>
      <c r="AW246" s="110"/>
      <c r="AX246" s="110"/>
      <c r="AY246" s="110"/>
      <c r="AZ246" s="568"/>
      <c r="BA246" s="568"/>
      <c r="BB246" s="574"/>
      <c r="BC246" s="568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</row>
    <row r="247" spans="2:79" x14ac:dyDescent="0.3"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10"/>
      <c r="AE247" s="10"/>
      <c r="AF247" s="551"/>
      <c r="AG247" s="551"/>
      <c r="AH247" s="551"/>
      <c r="AI247" s="551"/>
      <c r="AJ247" s="568"/>
      <c r="AK247" s="568"/>
      <c r="AL247" s="90"/>
      <c r="AM247" s="90"/>
      <c r="AN247" s="151"/>
      <c r="AO247" s="151"/>
      <c r="AP247" s="151"/>
      <c r="AQ247" s="151"/>
      <c r="AR247" s="151"/>
      <c r="AS247" s="151"/>
      <c r="AT247" s="151"/>
      <c r="AU247" s="90"/>
      <c r="AV247" s="110"/>
      <c r="AW247" s="110"/>
      <c r="AX247" s="110"/>
      <c r="AY247" s="110"/>
      <c r="AZ247" s="568"/>
      <c r="BA247" s="568"/>
      <c r="BB247" s="574"/>
      <c r="BC247" s="568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</row>
    <row r="248" spans="2:79" x14ac:dyDescent="0.3"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10"/>
      <c r="AE248" s="10"/>
      <c r="AF248" s="551"/>
      <c r="AG248" s="551"/>
      <c r="AH248" s="551"/>
      <c r="AI248" s="551"/>
      <c r="AJ248" s="568"/>
      <c r="AK248" s="568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90"/>
      <c r="AW248" s="90"/>
      <c r="AX248" s="90"/>
      <c r="AY248" s="90"/>
      <c r="AZ248" s="568"/>
      <c r="BA248" s="574"/>
      <c r="BB248" s="574"/>
      <c r="BC248" s="568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</row>
    <row r="249" spans="2:79" x14ac:dyDescent="0.3">
      <c r="AD249" s="10"/>
      <c r="AE249" s="10"/>
      <c r="AF249" s="551"/>
      <c r="AG249" s="551"/>
      <c r="AH249" s="551"/>
      <c r="AI249" s="551"/>
      <c r="AJ249" s="568"/>
      <c r="AK249" s="568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90"/>
      <c r="AW249" s="90"/>
      <c r="AX249" s="90"/>
      <c r="AY249" s="90"/>
      <c r="AZ249" s="568"/>
      <c r="BA249" s="574"/>
      <c r="BB249" s="574"/>
      <c r="BC249" s="568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</row>
    <row r="250" spans="2:79" ht="15" thickBot="1" x14ac:dyDescent="0.35">
      <c r="B250" s="544"/>
      <c r="C250" s="544"/>
      <c r="D250" s="544"/>
      <c r="E250" s="544"/>
      <c r="F250" s="544"/>
      <c r="G250" s="544"/>
      <c r="H250" s="544"/>
      <c r="I250" s="544"/>
      <c r="J250" s="544"/>
      <c r="K250" s="544"/>
      <c r="L250" s="544"/>
      <c r="M250" s="544"/>
      <c r="N250" s="544"/>
      <c r="O250" s="544"/>
      <c r="P250" s="544"/>
      <c r="Q250" s="544"/>
      <c r="R250" s="544"/>
      <c r="S250" s="544"/>
      <c r="T250" s="544"/>
      <c r="U250" s="544"/>
      <c r="V250" s="544"/>
      <c r="AD250" s="10"/>
      <c r="AE250" s="10"/>
      <c r="AF250" s="551"/>
      <c r="AG250" s="551"/>
      <c r="AH250" s="551"/>
      <c r="AI250" s="551"/>
      <c r="AJ250" s="568"/>
      <c r="AK250" s="568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90"/>
      <c r="AW250" s="90"/>
      <c r="AX250" s="90"/>
      <c r="AY250" s="90"/>
      <c r="AZ250" s="568"/>
      <c r="BA250" s="574"/>
      <c r="BB250" s="574"/>
      <c r="BC250" s="568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</row>
    <row r="251" spans="2:79" x14ac:dyDescent="0.3">
      <c r="B251" s="544"/>
      <c r="C251" s="554"/>
      <c r="D251" s="400"/>
      <c r="E251" s="400"/>
      <c r="F251" s="400"/>
      <c r="G251" s="400"/>
      <c r="H251" s="400"/>
      <c r="I251" s="400"/>
      <c r="J251" s="400"/>
      <c r="K251" s="400"/>
      <c r="L251" s="400"/>
      <c r="M251" s="400"/>
      <c r="N251" s="400"/>
      <c r="O251" s="400"/>
      <c r="P251" s="555"/>
      <c r="V251" s="544"/>
      <c r="AD251" s="10"/>
      <c r="AE251" s="10"/>
      <c r="AF251" s="551"/>
      <c r="AG251" s="551"/>
      <c r="AH251" s="551"/>
      <c r="AI251" s="551"/>
      <c r="AJ251" s="568"/>
      <c r="AK251" s="568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90"/>
      <c r="AW251" s="90"/>
      <c r="AX251" s="90"/>
      <c r="AY251" s="90"/>
      <c r="AZ251" s="568"/>
      <c r="BA251" s="574"/>
      <c r="BB251" s="574"/>
      <c r="BC251" s="568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</row>
    <row r="252" spans="2:79" x14ac:dyDescent="0.3">
      <c r="B252" s="544"/>
      <c r="C252" s="556"/>
      <c r="D252" s="546" t="s">
        <v>164</v>
      </c>
      <c r="E252" s="430"/>
      <c r="F252" s="430"/>
      <c r="G252" s="430"/>
      <c r="H252" s="591" t="s">
        <v>20</v>
      </c>
      <c r="I252" s="591"/>
      <c r="J252" s="591"/>
      <c r="K252" s="430"/>
      <c r="L252" s="430"/>
      <c r="M252" s="430"/>
      <c r="N252" s="430"/>
      <c r="O252" s="430"/>
      <c r="P252" s="557"/>
      <c r="V252" s="544"/>
      <c r="AD252" s="10"/>
      <c r="AE252" s="10"/>
      <c r="AF252" s="551"/>
      <c r="AG252" s="551"/>
      <c r="AH252" s="551"/>
      <c r="AI252" s="551"/>
      <c r="AJ252" s="568"/>
      <c r="AK252" s="568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90"/>
      <c r="AW252" s="90"/>
      <c r="AX252" s="90"/>
      <c r="AY252" s="90"/>
      <c r="AZ252" s="568"/>
      <c r="BA252" s="574"/>
      <c r="BB252" s="574"/>
      <c r="BC252" s="568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</row>
    <row r="253" spans="2:79" x14ac:dyDescent="0.3">
      <c r="B253" s="544"/>
      <c r="C253" s="556"/>
      <c r="D253" s="558" t="s">
        <v>165</v>
      </c>
      <c r="E253" s="430"/>
      <c r="F253" s="430"/>
      <c r="G253" s="430"/>
      <c r="H253" s="559" t="s">
        <v>162</v>
      </c>
      <c r="I253" s="546"/>
      <c r="J253" s="560" t="s">
        <v>163</v>
      </c>
      <c r="K253" s="546"/>
      <c r="L253" s="546"/>
      <c r="M253" s="546"/>
      <c r="N253" s="546"/>
      <c r="O253" s="561" t="s">
        <v>3</v>
      </c>
      <c r="P253" s="557"/>
      <c r="V253" s="544"/>
      <c r="AD253" s="10"/>
      <c r="AE253" s="10"/>
      <c r="AF253" s="551"/>
      <c r="AG253" s="551"/>
      <c r="AH253" s="551"/>
      <c r="AI253" s="551"/>
      <c r="AJ253" s="568"/>
      <c r="AK253" s="568"/>
      <c r="AL253" s="573"/>
      <c r="AM253" s="573"/>
      <c r="AN253" s="573"/>
      <c r="AO253" s="573"/>
      <c r="AP253" s="573"/>
      <c r="AQ253" s="573"/>
      <c r="AR253" s="573"/>
      <c r="AS253" s="573"/>
      <c r="AT253" s="573"/>
      <c r="AU253" s="573"/>
      <c r="AV253" s="568"/>
      <c r="AW253" s="568"/>
      <c r="AX253" s="568"/>
      <c r="AY253" s="568"/>
      <c r="AZ253" s="568"/>
      <c r="BA253" s="574"/>
      <c r="BB253" s="574"/>
      <c r="BC253" s="568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</row>
    <row r="254" spans="2:79" x14ac:dyDescent="0.3">
      <c r="B254" s="544"/>
      <c r="C254" s="556"/>
      <c r="D254" s="547" t="s">
        <v>161</v>
      </c>
      <c r="E254" s="15"/>
      <c r="F254" s="15"/>
      <c r="G254" s="15"/>
      <c r="H254" s="562">
        <f>SUM(D133:D139)</f>
        <v>471981</v>
      </c>
      <c r="I254" s="15"/>
      <c r="J254" s="16">
        <f>+H254/7</f>
        <v>67425.857142857145</v>
      </c>
      <c r="K254" s="15"/>
      <c r="L254" s="15"/>
      <c r="M254" s="15"/>
      <c r="N254" s="15"/>
      <c r="O254" s="15"/>
      <c r="P254" s="557"/>
      <c r="V254" s="544"/>
      <c r="AD254" s="10"/>
      <c r="AE254" s="10"/>
      <c r="AF254" s="551"/>
      <c r="AG254" s="551"/>
      <c r="AH254" s="551"/>
      <c r="AI254" s="551"/>
      <c r="AJ254" s="568"/>
      <c r="AK254" s="568"/>
      <c r="AL254" s="573"/>
      <c r="AM254" s="573"/>
      <c r="AN254" s="573"/>
      <c r="AO254" s="573"/>
      <c r="AP254" s="573"/>
      <c r="AQ254" s="573"/>
      <c r="AR254" s="573"/>
      <c r="AS254" s="573"/>
      <c r="AT254" s="573"/>
      <c r="AU254" s="573"/>
      <c r="AV254" s="573"/>
      <c r="AW254" s="573"/>
      <c r="AX254" s="573"/>
      <c r="AY254" s="573"/>
      <c r="AZ254" s="568"/>
      <c r="BA254" s="568"/>
      <c r="BB254" s="574"/>
      <c r="BC254" s="568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</row>
    <row r="255" spans="2:79" x14ac:dyDescent="0.3">
      <c r="B255" s="544"/>
      <c r="C255" s="556"/>
      <c r="D255" s="547" t="s">
        <v>160</v>
      </c>
      <c r="E255" s="15"/>
      <c r="F255" s="15"/>
      <c r="G255" s="15"/>
      <c r="H255" s="16">
        <f>SUM(D140:D146)</f>
        <v>427527</v>
      </c>
      <c r="I255" s="15"/>
      <c r="J255" s="16">
        <f>+H255/7</f>
        <v>61075.285714285717</v>
      </c>
      <c r="K255" s="15"/>
      <c r="L255" s="15"/>
      <c r="M255" s="15"/>
      <c r="N255" s="15"/>
      <c r="O255" s="15"/>
      <c r="P255" s="557"/>
      <c r="V255" s="544"/>
      <c r="AJ255" s="110"/>
      <c r="AK255" s="110"/>
      <c r="AL255" s="110"/>
      <c r="AM255" s="110"/>
      <c r="AN255" s="110"/>
      <c r="AO255" s="110"/>
      <c r="AP255" s="110"/>
      <c r="AQ255" s="110"/>
      <c r="AR255" s="110"/>
      <c r="AS255" s="110"/>
      <c r="AT255" s="90"/>
      <c r="AU255" s="110"/>
      <c r="AV255" s="152"/>
      <c r="AW255" s="152"/>
      <c r="AX255" s="152"/>
      <c r="AY255" s="152"/>
      <c r="AZ255" s="110"/>
      <c r="BA255" s="110"/>
      <c r="BB255" s="110"/>
      <c r="BC255" s="110"/>
    </row>
    <row r="256" spans="2:79" x14ac:dyDescent="0.3">
      <c r="B256" s="550"/>
      <c r="C256" s="556"/>
      <c r="D256" s="547" t="s">
        <v>159</v>
      </c>
      <c r="E256" s="15"/>
      <c r="F256" s="15"/>
      <c r="G256" s="15"/>
      <c r="H256" s="16">
        <f>SUM(D147:D153)</f>
        <v>383516</v>
      </c>
      <c r="I256" s="15"/>
      <c r="J256" s="16">
        <f>+H256/7</f>
        <v>54788</v>
      </c>
      <c r="K256" s="15"/>
      <c r="L256" s="15"/>
      <c r="M256" s="15"/>
      <c r="N256" s="15"/>
      <c r="O256" s="562">
        <f>+H254-H256</f>
        <v>88465</v>
      </c>
      <c r="P256" s="557"/>
      <c r="V256" s="544"/>
      <c r="AA256">
        <f>+O256/7</f>
        <v>12637.857142857143</v>
      </c>
      <c r="AJ256" s="110"/>
      <c r="AK256" s="110"/>
      <c r="AL256" s="110"/>
      <c r="AM256" s="110"/>
      <c r="AN256" s="110"/>
      <c r="AO256" s="110"/>
      <c r="AP256" s="110"/>
      <c r="AQ256" s="110"/>
      <c r="AR256" s="110"/>
      <c r="AS256" s="110"/>
      <c r="AT256" s="110"/>
      <c r="AU256" s="110"/>
      <c r="AV256" s="90"/>
      <c r="AW256" s="90"/>
      <c r="AX256" s="90"/>
      <c r="AY256" s="90"/>
      <c r="AZ256" s="110"/>
      <c r="BA256" s="153"/>
      <c r="BB256" s="110"/>
      <c r="BC256" s="110"/>
    </row>
    <row r="257" spans="2:55" x14ac:dyDescent="0.3">
      <c r="B257" s="551"/>
      <c r="C257" s="556"/>
      <c r="D257" s="563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60">
        <f>+O256/H254</f>
        <v>0.18743339244588236</v>
      </c>
      <c r="P257" s="557"/>
      <c r="V257" s="544"/>
      <c r="X257" s="61"/>
      <c r="Y257" s="61"/>
      <c r="Z257" s="110"/>
      <c r="AA257" s="110"/>
      <c r="AB257" s="110"/>
      <c r="AC257" s="110"/>
      <c r="AD257" s="110"/>
      <c r="AE257" s="110"/>
      <c r="AF257" s="110"/>
      <c r="AG257" s="110"/>
      <c r="AH257" s="110"/>
      <c r="AI257" s="110"/>
      <c r="AJ257" s="110"/>
      <c r="AK257" s="110"/>
      <c r="AL257" s="110"/>
      <c r="AM257" s="110"/>
      <c r="AN257" s="110"/>
      <c r="AO257" s="110"/>
      <c r="AP257" s="90">
        <v>480454</v>
      </c>
      <c r="AQ257" s="110"/>
      <c r="AR257" s="110"/>
      <c r="AS257" s="110"/>
      <c r="AT257" s="110"/>
      <c r="AU257" s="110"/>
      <c r="AV257" s="110"/>
      <c r="AW257" s="110"/>
      <c r="AX257" s="110"/>
      <c r="AY257" s="110"/>
      <c r="AZ257" s="110"/>
      <c r="BA257" s="110"/>
      <c r="BB257" s="110"/>
      <c r="BC257" s="110"/>
    </row>
    <row r="258" spans="2:55" ht="15" thickBot="1" x14ac:dyDescent="0.35">
      <c r="B258" s="551"/>
      <c r="C258" s="564"/>
      <c r="D258" s="565"/>
      <c r="E258" s="565"/>
      <c r="F258" s="565"/>
      <c r="G258" s="565"/>
      <c r="H258" s="565"/>
      <c r="I258" s="565"/>
      <c r="J258" s="566"/>
      <c r="K258" s="565"/>
      <c r="L258" s="565"/>
      <c r="M258" s="565"/>
      <c r="N258" s="565"/>
      <c r="O258" s="565"/>
      <c r="P258" s="567"/>
      <c r="V258" s="544"/>
      <c r="X258" s="61"/>
      <c r="Y258" s="61"/>
      <c r="Z258" s="110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110"/>
      <c r="AK258" s="110"/>
      <c r="AL258" s="110"/>
      <c r="AM258" s="110"/>
      <c r="AN258" s="110"/>
      <c r="AO258" s="110"/>
      <c r="AP258" s="152">
        <f>+N201</f>
        <v>290088</v>
      </c>
      <c r="AQ258" s="110"/>
      <c r="AR258" s="110"/>
      <c r="AS258" s="110"/>
      <c r="AT258" s="110"/>
      <c r="AU258" s="110"/>
      <c r="AV258" s="110"/>
      <c r="AW258" s="110"/>
      <c r="AX258" s="110"/>
      <c r="AY258" s="110"/>
      <c r="AZ258" s="110"/>
      <c r="BA258" s="110"/>
      <c r="BB258" s="110"/>
      <c r="BC258" s="110"/>
    </row>
    <row r="259" spans="2:55" x14ac:dyDescent="0.3">
      <c r="B259" s="551"/>
      <c r="C259" s="544"/>
      <c r="D259" s="552"/>
      <c r="E259" s="544"/>
      <c r="F259" s="544"/>
      <c r="G259" s="544"/>
      <c r="H259" s="553"/>
      <c r="I259" s="544"/>
      <c r="J259" s="544"/>
      <c r="K259" s="544"/>
      <c r="L259" s="544"/>
      <c r="M259" s="544"/>
      <c r="N259" s="544"/>
      <c r="O259" s="544"/>
      <c r="P259" s="544"/>
      <c r="Q259" s="544"/>
      <c r="R259" s="544"/>
      <c r="S259" s="544"/>
      <c r="T259" s="544"/>
      <c r="U259" s="544"/>
      <c r="V259" s="544"/>
      <c r="X259" s="61"/>
      <c r="Y259" s="61"/>
      <c r="Z259" s="110"/>
      <c r="AA259" s="110"/>
      <c r="AB259" s="110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0"/>
      <c r="AP259" s="152">
        <f>+AP257-AP258</f>
        <v>190366</v>
      </c>
      <c r="AQ259" s="110"/>
      <c r="AR259" s="110"/>
    </row>
    <row r="260" spans="2:55" x14ac:dyDescent="0.3">
      <c r="B260" s="1"/>
      <c r="D260" s="55"/>
      <c r="X260" s="61"/>
      <c r="Y260" s="61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96">
        <f>+AP259/AP257</f>
        <v>0.3962210742339537</v>
      </c>
      <c r="AQ260" s="110"/>
      <c r="AR260" s="110"/>
    </row>
    <row r="261" spans="2:55" x14ac:dyDescent="0.3">
      <c r="B261" s="55"/>
      <c r="D261" s="55"/>
      <c r="J261" s="56">
        <f>+J254-J256</f>
        <v>12637.857142857145</v>
      </c>
      <c r="X261" s="61"/>
      <c r="Y261" s="61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</row>
    <row r="262" spans="2:55" x14ac:dyDescent="0.3">
      <c r="B262" s="57"/>
      <c r="D262" s="55"/>
      <c r="X262" s="61"/>
      <c r="Y262" s="61"/>
      <c r="Z262" s="110"/>
      <c r="AA262" s="110"/>
      <c r="AB262" s="110"/>
      <c r="AC262" s="110"/>
      <c r="AD262" s="110"/>
      <c r="AE262" s="110"/>
      <c r="AF262" s="110"/>
      <c r="AG262" s="110"/>
      <c r="AH262" s="110"/>
      <c r="AI262" s="110"/>
      <c r="AJ262" s="110"/>
      <c r="AK262" s="110"/>
      <c r="AL262" s="110"/>
      <c r="AM262" s="110"/>
      <c r="AN262" s="110"/>
      <c r="AO262" s="110"/>
      <c r="AP262" s="110"/>
      <c r="AQ262" s="110"/>
      <c r="AR262" s="110"/>
    </row>
    <row r="263" spans="2:55" x14ac:dyDescent="0.3">
      <c r="B263" s="1"/>
      <c r="D263" s="55"/>
      <c r="X263" s="61"/>
      <c r="Y263" s="61"/>
      <c r="Z263" s="110"/>
      <c r="AA263" s="110"/>
      <c r="AB263" s="110"/>
      <c r="AC263" s="110"/>
      <c r="AD263" s="110"/>
      <c r="AE263" s="110"/>
      <c r="AF263" s="110"/>
      <c r="AG263" s="110"/>
      <c r="AH263" s="110"/>
      <c r="AI263" s="110"/>
      <c r="AJ263" s="110"/>
      <c r="AK263" s="110"/>
      <c r="AL263" s="110"/>
      <c r="AM263" s="110"/>
      <c r="AN263" s="110"/>
      <c r="AO263" s="110"/>
      <c r="AP263" s="110"/>
      <c r="AQ263" s="110"/>
      <c r="AR263" s="110"/>
    </row>
    <row r="264" spans="2:55" x14ac:dyDescent="0.3">
      <c r="B264" s="1"/>
      <c r="D264" s="55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</row>
    <row r="265" spans="2:55" x14ac:dyDescent="0.3">
      <c r="B265" s="1"/>
      <c r="D265" s="55"/>
    </row>
    <row r="266" spans="2:55" x14ac:dyDescent="0.3">
      <c r="B266" s="1"/>
      <c r="D266" s="55"/>
    </row>
    <row r="267" spans="2:55" x14ac:dyDescent="0.3">
      <c r="B267" s="57" t="e">
        <f>+B266/B265</f>
        <v>#DIV/0!</v>
      </c>
      <c r="D267" s="55"/>
    </row>
    <row r="268" spans="2:55" x14ac:dyDescent="0.3">
      <c r="B268" s="1"/>
      <c r="D268" s="55"/>
    </row>
    <row r="269" spans="2:55" x14ac:dyDescent="0.3">
      <c r="B269" s="1"/>
      <c r="D269" s="55"/>
    </row>
    <row r="270" spans="2:55" x14ac:dyDescent="0.3">
      <c r="B270" s="1">
        <f>+B266*50</f>
        <v>0</v>
      </c>
      <c r="D270" s="55"/>
    </row>
    <row r="271" spans="2:55" x14ac:dyDescent="0.3">
      <c r="B271" s="1"/>
      <c r="D271" s="55"/>
    </row>
    <row r="272" spans="2:55" x14ac:dyDescent="0.3">
      <c r="B272" s="1"/>
      <c r="D272" s="55"/>
    </row>
    <row r="273" spans="2:4" x14ac:dyDescent="0.3">
      <c r="B273" s="1"/>
      <c r="D273" s="55"/>
    </row>
    <row r="274" spans="2:4" x14ac:dyDescent="0.3">
      <c r="B274" s="1"/>
      <c r="D274" s="55"/>
    </row>
    <row r="275" spans="2:4" x14ac:dyDescent="0.3">
      <c r="B275" s="1"/>
      <c r="D275" s="55"/>
    </row>
    <row r="276" spans="2:4" x14ac:dyDescent="0.3">
      <c r="B276" s="1"/>
      <c r="D276" s="55"/>
    </row>
    <row r="277" spans="2:4" x14ac:dyDescent="0.3">
      <c r="B277" s="1"/>
      <c r="D277" s="55"/>
    </row>
    <row r="278" spans="2:4" x14ac:dyDescent="0.3">
      <c r="B278" s="1"/>
      <c r="D278" s="55"/>
    </row>
    <row r="279" spans="2:4" x14ac:dyDescent="0.3">
      <c r="B279" s="1"/>
      <c r="D279" s="55"/>
    </row>
    <row r="280" spans="2:4" x14ac:dyDescent="0.3">
      <c r="B280" s="1"/>
    </row>
    <row r="281" spans="2:4" x14ac:dyDescent="0.3">
      <c r="B281" s="1"/>
    </row>
    <row r="282" spans="2:4" x14ac:dyDescent="0.3">
      <c r="B282" s="1"/>
    </row>
    <row r="283" spans="2:4" x14ac:dyDescent="0.3">
      <c r="B283" s="1"/>
    </row>
    <row r="284" spans="2:4" x14ac:dyDescent="0.3">
      <c r="B284" s="1"/>
    </row>
    <row r="285" spans="2:4" x14ac:dyDescent="0.3">
      <c r="B285" s="1"/>
    </row>
    <row r="286" spans="2:4" x14ac:dyDescent="0.3">
      <c r="B286" s="1"/>
    </row>
    <row r="287" spans="2:4" x14ac:dyDescent="0.3">
      <c r="B287" s="1"/>
    </row>
  </sheetData>
  <mergeCells count="28">
    <mergeCell ref="H252:J252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229:AN229"/>
    <mergeCell ref="AK230:AM230"/>
    <mergeCell ref="AK223:AN223"/>
    <mergeCell ref="AK222:AV222"/>
    <mergeCell ref="AK224:AN224"/>
    <mergeCell ref="AK225:AN225"/>
    <mergeCell ref="AK226:AN226"/>
    <mergeCell ref="AK227:AN227"/>
    <mergeCell ref="B1:D1"/>
    <mergeCell ref="B2:D2"/>
    <mergeCell ref="J4:AC4"/>
    <mergeCell ref="D7:J7"/>
    <mergeCell ref="B3:C3"/>
    <mergeCell ref="F6:L6"/>
    <mergeCell ref="Y6:AJ6"/>
    <mergeCell ref="W7:AJ7"/>
    <mergeCell ref="Q6:U6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23"/>
  <sheetViews>
    <sheetView topLeftCell="A181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1" t="s">
        <v>7</v>
      </c>
      <c r="F7" s="612"/>
      <c r="G7" s="616">
        <v>0.7</v>
      </c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7"/>
    </row>
    <row r="8" spans="3:40" x14ac:dyDescent="0.3">
      <c r="E8" s="613" t="s">
        <v>123</v>
      </c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5"/>
    </row>
    <row r="9" spans="3:40" x14ac:dyDescent="0.3">
      <c r="E9" s="631" t="s">
        <v>37</v>
      </c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3"/>
      <c r="Q9" s="629" t="s">
        <v>116</v>
      </c>
      <c r="R9" s="5"/>
      <c r="S9" s="626" t="s">
        <v>4</v>
      </c>
      <c r="T9" s="627"/>
      <c r="U9" s="628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0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3" t="s">
        <v>48</v>
      </c>
      <c r="AE14" s="624"/>
      <c r="AF14" s="625"/>
      <c r="AG14" s="206"/>
      <c r="AH14" s="621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2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+K211</f>
        <v>717714</v>
      </c>
      <c r="AG16" s="200"/>
      <c r="AH16" s="214">
        <f>+AJ31</f>
        <v>2215.8690541549931</v>
      </c>
      <c r="AI16" s="214"/>
      <c r="AJ16" s="215">
        <f>+S211</f>
        <v>53750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131072</v>
      </c>
      <c r="AG17" s="201"/>
      <c r="AH17" s="162">
        <v>1902</v>
      </c>
      <c r="AI17" s="214"/>
      <c r="AJ17" s="161">
        <v>9415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161594</v>
      </c>
      <c r="AG18" s="201"/>
      <c r="AH18" s="162">
        <v>1262</v>
      </c>
      <c r="AI18" s="214"/>
      <c r="AJ18" s="161">
        <v>8088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1010380</v>
      </c>
      <c r="AG19" s="201"/>
      <c r="AH19" s="201"/>
      <c r="AI19" s="201"/>
      <c r="AJ19" s="219">
        <f>SUM(AJ16:AJ18)</f>
        <v>71253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Table'!H209</f>
        <v>0.13740112539515165</v>
      </c>
      <c r="AG21" s="201"/>
      <c r="AH21" s="201"/>
      <c r="AI21" s="201"/>
      <c r="AJ21" s="221">
        <f>+AJ19/'Main Table'!AA209</f>
        <v>0.33962183211710145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3" t="s">
        <v>133</v>
      </c>
      <c r="AB25" s="624"/>
      <c r="AC25" s="624"/>
      <c r="AD25" s="624"/>
      <c r="AE25" s="624"/>
      <c r="AF25" s="624"/>
      <c r="AG25" s="624"/>
      <c r="AH25" s="624"/>
      <c r="AI25" s="624"/>
      <c r="AJ25" s="624"/>
      <c r="AK25" s="625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+E211</f>
        <v>456460</v>
      </c>
      <c r="AE27" s="168"/>
      <c r="AF27" s="199">
        <v>2346</v>
      </c>
      <c r="AG27" s="168"/>
      <c r="AH27" s="190">
        <f>+AD27/AD$31</f>
        <v>0.53777984085505648</v>
      </c>
      <c r="AI27" s="190"/>
      <c r="AJ27" s="168">
        <f>+AF27*AH27</f>
        <v>1261.6315066459624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+G211</f>
        <v>204107</v>
      </c>
      <c r="AE28" s="168"/>
      <c r="AF28" s="199">
        <v>2298</v>
      </c>
      <c r="AG28" s="168"/>
      <c r="AH28" s="190">
        <f>+AD28/AD$31</f>
        <v>0.24046932913596594</v>
      </c>
      <c r="AI28" s="190"/>
      <c r="AJ28" s="168">
        <f>+AF28*AH28</f>
        <v>552.59851835444977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+I211</f>
        <v>57147</v>
      </c>
      <c r="AE29" s="168"/>
      <c r="AF29" s="199">
        <v>1603</v>
      </c>
      <c r="AG29" s="168"/>
      <c r="AH29" s="190">
        <f>+AD29/AD$31</f>
        <v>6.7327924824396257E-2</v>
      </c>
      <c r="AI29" s="190"/>
      <c r="AJ29" s="168">
        <f>+AF29*AH29</f>
        <v>107.92666349350721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131072</v>
      </c>
      <c r="AE30" s="280"/>
      <c r="AF30" s="168">
        <f>+AH17</f>
        <v>1902</v>
      </c>
      <c r="AG30" s="280"/>
      <c r="AH30" s="190">
        <f>+AD30/AD$31</f>
        <v>0.15442290518458127</v>
      </c>
      <c r="AI30" s="280"/>
      <c r="AJ30" s="168">
        <f>+AF30*AH30</f>
        <v>293.71236566107359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848786</v>
      </c>
      <c r="AE31" s="168"/>
      <c r="AF31" s="168"/>
      <c r="AG31" s="168"/>
      <c r="AH31" s="193">
        <f>SUM(AH27:AH30)</f>
        <v>0.99999999999999989</v>
      </c>
      <c r="AI31" s="190"/>
      <c r="AJ31" s="192">
        <f>SUM(AJ27:AJ30)</f>
        <v>2215.8690541549931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8" t="s">
        <v>31</v>
      </c>
      <c r="AB36" s="619"/>
      <c r="AC36" s="619"/>
      <c r="AD36" s="619"/>
      <c r="AE36" s="619"/>
      <c r="AF36" s="619"/>
      <c r="AG36" s="619"/>
      <c r="AH36" s="619"/>
      <c r="AI36" s="620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Table'!AA209</f>
        <v>209801</v>
      </c>
      <c r="AJ49" s="56">
        <f>+AJ19</f>
        <v>71253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71253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138548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58190.159999999996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80357.84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0.38301933737208116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209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209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" si="37">SUM(E184:I184)</f>
        <v>690019</v>
      </c>
      <c r="L184" s="6"/>
      <c r="M184" s="481">
        <f t="shared" ref="M184" si="38">+(K184-K183)/K183</f>
        <v>1.4397113610932519E-3</v>
      </c>
      <c r="N184" s="29"/>
      <c r="O184" s="29"/>
      <c r="P184" s="29"/>
      <c r="Q184" s="375">
        <f t="shared" ref="Q184" si="39">+K184-K183</f>
        <v>992</v>
      </c>
      <c r="R184" s="6"/>
      <c r="S184" s="7">
        <f>33019+16008+4474</f>
        <v>53501</v>
      </c>
      <c r="T184" s="6"/>
      <c r="U184" s="286">
        <f t="shared" ref="U184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ref="K185" si="41">SUM(E185:I185)</f>
        <v>691418</v>
      </c>
      <c r="L185" s="6"/>
      <c r="M185" s="481">
        <f t="shared" ref="M185" si="42">+(K185-K184)/K184</f>
        <v>2.0274804027135486E-3</v>
      </c>
      <c r="N185" s="29"/>
      <c r="O185" s="29"/>
      <c r="P185" s="29"/>
      <c r="Q185" s="375">
        <f t="shared" ref="Q185" si="43">+K185-K184</f>
        <v>1399</v>
      </c>
      <c r="R185" s="6"/>
      <c r="S185" s="7">
        <f>33019+16008+4474</f>
        <v>53501</v>
      </c>
      <c r="T185" s="6"/>
      <c r="U185" s="286">
        <f t="shared" ref="U185" si="44">+S185/K185</f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ref="K186" si="45">SUM(E186:I186)</f>
        <v>693005</v>
      </c>
      <c r="L186" s="6"/>
      <c r="M186" s="481">
        <f t="shared" ref="M186" si="46">+(K186-K185)/K185</f>
        <v>2.2952830270545461E-3</v>
      </c>
      <c r="N186" s="29"/>
      <c r="O186" s="29"/>
      <c r="P186" s="29"/>
      <c r="Q186" s="375">
        <f t="shared" ref="Q186" si="47">+K186-K185</f>
        <v>1587</v>
      </c>
      <c r="R186" s="6"/>
      <c r="S186" s="7">
        <f>33019+16008+4474</f>
        <v>53501</v>
      </c>
      <c r="T186" s="6"/>
      <c r="U186" s="286">
        <f t="shared" ref="U186" si="48">+S186/K186</f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ref="K187" si="49">SUM(E187:I187)</f>
        <v>694303</v>
      </c>
      <c r="L187" s="6"/>
      <c r="M187" s="481">
        <f t="shared" ref="M187" si="50">+(K187-K186)/K186</f>
        <v>1.873002359290337E-3</v>
      </c>
      <c r="N187" s="29"/>
      <c r="O187" s="29"/>
      <c r="P187" s="29"/>
      <c r="Q187" s="375">
        <f t="shared" ref="Q187" si="51">+K187-K186</f>
        <v>1298</v>
      </c>
      <c r="R187" s="6"/>
      <c r="S187" s="7">
        <f>33023+16027+4480</f>
        <v>53530</v>
      </c>
      <c r="T187" s="6"/>
      <c r="U187" s="286">
        <f t="shared" ref="U187" si="52">+S187/K187</f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ref="K188" si="53">SUM(E188:I188)</f>
        <v>695326</v>
      </c>
      <c r="L188" s="6"/>
      <c r="M188" s="481">
        <f t="shared" ref="M188" si="54">+(K188-K187)/K187</f>
        <v>1.4734201062072323E-3</v>
      </c>
      <c r="N188" s="29"/>
      <c r="O188" s="29"/>
      <c r="P188" s="29"/>
      <c r="Q188" s="375">
        <f t="shared" ref="Q188" si="55">+K188-K187</f>
        <v>1023</v>
      </c>
      <c r="R188" s="6"/>
      <c r="S188" s="7">
        <f>33023+16027+4480</f>
        <v>53530</v>
      </c>
      <c r="T188" s="6"/>
      <c r="U188" s="286">
        <f t="shared" ref="U188" si="56">+S188/K188</f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ref="K189" si="57">SUM(E189:I189)</f>
        <v>696809</v>
      </c>
      <c r="L189" s="6"/>
      <c r="M189" s="481">
        <f t="shared" ref="M189" si="58">+(K189-K188)/K188</f>
        <v>2.1328125224714736E-3</v>
      </c>
      <c r="N189" s="29"/>
      <c r="O189" s="29"/>
      <c r="P189" s="29"/>
      <c r="Q189" s="375">
        <f t="shared" ref="Q189" si="59">+K189-K188</f>
        <v>1483</v>
      </c>
      <c r="R189" s="6"/>
      <c r="S189" s="7">
        <f>33030+16034+4485</f>
        <v>53549</v>
      </c>
      <c r="T189" s="6"/>
      <c r="U189" s="286">
        <f t="shared" ref="U189" si="60">+S189/K189</f>
        <v>7.6848892594670856E-2</v>
      </c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ref="K190" si="61">SUM(E190:I190)</f>
        <v>698149</v>
      </c>
      <c r="L190" s="6"/>
      <c r="M190" s="481">
        <f t="shared" ref="M190" si="62">+(K190-K189)/K189</f>
        <v>1.9230520845741085E-3</v>
      </c>
      <c r="N190" s="29"/>
      <c r="O190" s="29"/>
      <c r="P190" s="29"/>
      <c r="Q190" s="375">
        <f t="shared" ref="Q190" si="63">+K190-K189</f>
        <v>1340</v>
      </c>
      <c r="R190" s="6"/>
      <c r="S190" s="7">
        <f>33038+16043+4485</f>
        <v>53566</v>
      </c>
      <c r="T190" s="6"/>
      <c r="U190" s="286">
        <f t="shared" ref="U190" si="64">+S190/K190</f>
        <v>7.6725741926150434E-2</v>
      </c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ref="K191" si="65">SUM(E191:I191)</f>
        <v>699324</v>
      </c>
      <c r="L191" s="6"/>
      <c r="M191" s="481">
        <f t="shared" ref="M191" si="66">+(K191-K190)/K190</f>
        <v>1.6830218191245707E-3</v>
      </c>
      <c r="N191" s="29"/>
      <c r="O191" s="29"/>
      <c r="P191" s="29"/>
      <c r="Q191" s="375">
        <f t="shared" ref="Q191" si="67">+K191-K190</f>
        <v>1175</v>
      </c>
      <c r="R191" s="6"/>
      <c r="S191" s="7">
        <f>33038+16043+4485</f>
        <v>53566</v>
      </c>
      <c r="T191" s="6"/>
      <c r="U191" s="286">
        <f t="shared" ref="U191" si="68">+S191/K191</f>
        <v>7.6596827793697919E-2</v>
      </c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ref="K192" si="69">SUM(E192:I192)</f>
        <v>701009</v>
      </c>
      <c r="L192" s="6"/>
      <c r="M192" s="481">
        <f t="shared" ref="M192" si="70">+(K192-K191)/K191</f>
        <v>2.4094697164690473E-3</v>
      </c>
      <c r="N192" s="29"/>
      <c r="O192" s="29"/>
      <c r="P192" s="29"/>
      <c r="Q192" s="375">
        <f t="shared" ref="Q192" si="71">+K192-K191</f>
        <v>1685</v>
      </c>
      <c r="R192" s="6"/>
      <c r="S192" s="7">
        <f>33070+16057+4488</f>
        <v>53615</v>
      </c>
      <c r="T192" s="6"/>
      <c r="U192" s="286">
        <f t="shared" ref="U192" si="72">+S192/K192</f>
        <v>7.6482612919377635E-2</v>
      </c>
      <c r="W192">
        <f t="shared" si="20"/>
        <v>182</v>
      </c>
      <c r="Y192" s="56"/>
    </row>
    <row r="193" spans="3:25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ref="K193" si="73">SUM(E193:I193)</f>
        <v>702427</v>
      </c>
      <c r="L193" s="6"/>
      <c r="M193" s="481">
        <f t="shared" ref="M193" si="74">+(K193-K192)/K192</f>
        <v>2.0227985660669122E-3</v>
      </c>
      <c r="N193" s="29"/>
      <c r="O193" s="29"/>
      <c r="P193" s="29"/>
      <c r="Q193" s="375">
        <f t="shared" ref="Q193" si="75">+K193-K192</f>
        <v>1418</v>
      </c>
      <c r="R193" s="6"/>
      <c r="S193" s="7">
        <f>33085+16061+4492</f>
        <v>53638</v>
      </c>
      <c r="T193" s="6"/>
      <c r="U193" s="286">
        <f t="shared" ref="U193" si="76">+S193/K193</f>
        <v>7.6360959928932118E-2</v>
      </c>
      <c r="W193">
        <f t="shared" si="20"/>
        <v>183</v>
      </c>
      <c r="Y193" s="56"/>
    </row>
    <row r="194" spans="3:25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ref="K194" si="77">SUM(E194:I194)</f>
        <v>703875</v>
      </c>
      <c r="L194" s="6"/>
      <c r="M194" s="481">
        <f t="shared" ref="M194" si="78">+(K194-K193)/K193</f>
        <v>2.0614241764624649E-3</v>
      </c>
      <c r="N194" s="29"/>
      <c r="O194" s="29"/>
      <c r="P194" s="29"/>
      <c r="Q194" s="375">
        <f t="shared" ref="Q194" si="79">+K194-K193</f>
        <v>1448</v>
      </c>
      <c r="R194" s="6"/>
      <c r="S194" s="7">
        <f>33081+16064+4492</f>
        <v>53637</v>
      </c>
      <c r="T194" s="6"/>
      <c r="U194" s="286">
        <f t="shared" ref="U194" si="80">+S194/K194</f>
        <v>7.6202450719232817E-2</v>
      </c>
      <c r="W194">
        <f t="shared" si="20"/>
        <v>184</v>
      </c>
      <c r="Y194" s="56"/>
    </row>
    <row r="195" spans="3:25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ref="K195" si="81">SUM(E195:I195)</f>
        <v>705189</v>
      </c>
      <c r="L195" s="6"/>
      <c r="M195" s="481">
        <f t="shared" ref="M195" si="82">+(K195-K194)/K194</f>
        <v>1.86680873734683E-3</v>
      </c>
      <c r="N195" s="29"/>
      <c r="O195" s="29"/>
      <c r="P195" s="29"/>
      <c r="Q195" s="375">
        <f t="shared" ref="Q195" si="83">+K195-K194</f>
        <v>1314</v>
      </c>
      <c r="R195" s="6"/>
      <c r="S195" s="7">
        <f>33087+16067+4492</f>
        <v>53646</v>
      </c>
      <c r="T195" s="6"/>
      <c r="U195" s="286">
        <f t="shared" ref="U195" si="84">+S195/K195</f>
        <v>7.6073222923216333E-2</v>
      </c>
      <c r="W195">
        <f t="shared" si="20"/>
        <v>185</v>
      </c>
      <c r="Y195" s="56"/>
    </row>
    <row r="196" spans="3:25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ref="K196" si="85">SUM(E196:I196)</f>
        <v>706651</v>
      </c>
      <c r="L196" s="6"/>
      <c r="M196" s="481">
        <f t="shared" ref="M196" si="86">+(K196-K195)/K195</f>
        <v>2.0732030703825501E-3</v>
      </c>
      <c r="N196" s="29"/>
      <c r="O196" s="29"/>
      <c r="P196" s="29"/>
      <c r="Q196" s="375">
        <f t="shared" ref="Q196" si="87">+K196-K195</f>
        <v>1462</v>
      </c>
      <c r="R196" s="6"/>
      <c r="S196" s="7">
        <f>33092+16069+4495</f>
        <v>53656</v>
      </c>
      <c r="T196" s="6"/>
      <c r="U196" s="286">
        <f t="shared" ref="U196" si="88">+S196/K196</f>
        <v>7.592998524023882E-2</v>
      </c>
      <c r="W196">
        <f t="shared" si="20"/>
        <v>186</v>
      </c>
      <c r="Y196" s="56"/>
    </row>
    <row r="197" spans="3:25" x14ac:dyDescent="0.3">
      <c r="C197" s="170">
        <f t="shared" si="15"/>
        <v>44096</v>
      </c>
      <c r="E197" s="284">
        <v>451227</v>
      </c>
      <c r="F197" s="7"/>
      <c r="G197" s="7">
        <v>200580</v>
      </c>
      <c r="H197" s="7"/>
      <c r="I197" s="7">
        <v>56160</v>
      </c>
      <c r="J197" s="287"/>
      <c r="K197" s="7">
        <f t="shared" ref="K197" si="89">SUM(E197:I197)</f>
        <v>707967</v>
      </c>
      <c r="L197" s="6"/>
      <c r="M197" s="481">
        <f t="shared" ref="M197" si="90">+(K197-K196)/K196</f>
        <v>1.8623054379035761E-3</v>
      </c>
      <c r="N197" s="29"/>
      <c r="O197" s="29"/>
      <c r="P197" s="29"/>
      <c r="Q197" s="375">
        <f t="shared" ref="Q197" si="91">+K197-K196</f>
        <v>1316</v>
      </c>
      <c r="R197" s="6"/>
      <c r="S197" s="7">
        <f>33092+16069+4495</f>
        <v>53656</v>
      </c>
      <c r="T197" s="6"/>
      <c r="U197" s="286">
        <f t="shared" ref="U197" si="92">+S197/K197</f>
        <v>7.5788843265293435E-2</v>
      </c>
      <c r="W197">
        <f t="shared" si="20"/>
        <v>187</v>
      </c>
      <c r="Y197" s="56"/>
    </row>
    <row r="198" spans="3:25" x14ac:dyDescent="0.3">
      <c r="C198" s="170">
        <f t="shared" si="15"/>
        <v>44097</v>
      </c>
      <c r="E198" s="284">
        <v>451892</v>
      </c>
      <c r="F198" s="7"/>
      <c r="G198" s="7">
        <v>200988</v>
      </c>
      <c r="H198" s="7"/>
      <c r="I198" s="7">
        <v>56315</v>
      </c>
      <c r="J198" s="287"/>
      <c r="K198" s="7">
        <f t="shared" ref="K198" si="93">SUM(E198:I198)</f>
        <v>709195</v>
      </c>
      <c r="L198" s="6"/>
      <c r="M198" s="481">
        <f t="shared" ref="M198" si="94">+(K198-K197)/K197</f>
        <v>1.7345441242317791E-3</v>
      </c>
      <c r="N198" s="29"/>
      <c r="O198" s="29"/>
      <c r="P198" s="29"/>
      <c r="Q198" s="375">
        <f t="shared" ref="Q198" si="95">+K198-K197</f>
        <v>1228</v>
      </c>
      <c r="R198" s="6"/>
      <c r="S198" s="7">
        <f>33090+16082+4497</f>
        <v>53669</v>
      </c>
      <c r="T198" s="6"/>
      <c r="U198" s="286">
        <f t="shared" ref="U198" si="96">+S198/K198</f>
        <v>7.5675942441782579E-2</v>
      </c>
      <c r="W198">
        <f t="shared" si="20"/>
        <v>188</v>
      </c>
      <c r="Y198" s="56"/>
    </row>
    <row r="199" spans="3:25" x14ac:dyDescent="0.3">
      <c r="C199" s="170">
        <f t="shared" si="15"/>
        <v>44098</v>
      </c>
      <c r="E199" s="284">
        <v>452847</v>
      </c>
      <c r="F199" s="7"/>
      <c r="G199" s="7">
        <v>201216</v>
      </c>
      <c r="H199" s="7"/>
      <c r="I199" s="7">
        <v>56472</v>
      </c>
      <c r="J199" s="287"/>
      <c r="K199" s="7">
        <f t="shared" ref="K199" si="97">SUM(E199:I199)</f>
        <v>710535</v>
      </c>
      <c r="L199" s="6"/>
      <c r="M199" s="481">
        <f t="shared" ref="M199" si="98">+(K199-K198)/K198</f>
        <v>1.8894662257912141E-3</v>
      </c>
      <c r="N199" s="29"/>
      <c r="O199" s="29"/>
      <c r="P199" s="29"/>
      <c r="Q199" s="375">
        <f t="shared" ref="Q199" si="99">+K199-K198</f>
        <v>1340</v>
      </c>
      <c r="R199" s="6"/>
      <c r="S199" s="7">
        <f>33096+16091+4499</f>
        <v>53686</v>
      </c>
      <c r="T199" s="6"/>
      <c r="U199" s="286">
        <f t="shared" ref="U199" si="100">+S199/K199</f>
        <v>7.5557150597788988E-2</v>
      </c>
      <c r="W199">
        <f t="shared" si="20"/>
        <v>189</v>
      </c>
      <c r="Y199" s="56"/>
    </row>
    <row r="200" spans="3:25" x14ac:dyDescent="0.3">
      <c r="C200" s="170">
        <f t="shared" si="15"/>
        <v>44099</v>
      </c>
      <c r="E200" s="284">
        <v>453756</v>
      </c>
      <c r="F200" s="7"/>
      <c r="G200" s="7">
        <v>202100</v>
      </c>
      <c r="H200" s="7"/>
      <c r="I200" s="7">
        <v>56587</v>
      </c>
      <c r="J200" s="287"/>
      <c r="K200" s="7">
        <f t="shared" ref="K200" si="101">SUM(E200:I200)</f>
        <v>712443</v>
      </c>
      <c r="L200" s="6"/>
      <c r="M200" s="481">
        <f t="shared" ref="M200" si="102">+(K200-K199)/K199</f>
        <v>2.6853005129937302E-3</v>
      </c>
      <c r="N200" s="29"/>
      <c r="O200" s="29"/>
      <c r="P200" s="29"/>
      <c r="Q200" s="375">
        <f t="shared" ref="Q200" si="103">+K200-K199</f>
        <v>1908</v>
      </c>
      <c r="R200" s="6"/>
      <c r="S200" s="7">
        <f>33102+16097+4501</f>
        <v>53700</v>
      </c>
      <c r="T200" s="6"/>
      <c r="U200" s="286">
        <f t="shared" ref="U200" si="104">+S200/K200</f>
        <v>7.5374451008712276E-2</v>
      </c>
      <c r="W200">
        <f t="shared" si="20"/>
        <v>190</v>
      </c>
      <c r="Y200" s="56"/>
    </row>
    <row r="201" spans="3:25" x14ac:dyDescent="0.3">
      <c r="C201" s="170">
        <f t="shared" si="15"/>
        <v>44100</v>
      </c>
      <c r="E201" s="284">
        <v>454760</v>
      </c>
      <c r="F201" s="7"/>
      <c r="G201" s="7">
        <v>202850</v>
      </c>
      <c r="H201" s="7"/>
      <c r="I201" s="7">
        <v>56587</v>
      </c>
      <c r="J201" s="287"/>
      <c r="K201" s="7">
        <f t="shared" ref="K201" si="105">SUM(E201:I201)</f>
        <v>714197</v>
      </c>
      <c r="L201" s="6"/>
      <c r="M201" s="481">
        <f t="shared" ref="M201" si="106">+(K201-K200)/K200</f>
        <v>2.461951342072278E-3</v>
      </c>
      <c r="N201" s="29"/>
      <c r="O201" s="29"/>
      <c r="P201" s="29"/>
      <c r="Q201" s="375">
        <f t="shared" ref="Q201" si="107">+K201-K200</f>
        <v>1754</v>
      </c>
      <c r="R201" s="6"/>
      <c r="S201" s="7">
        <f>33126+16103+4501</f>
        <v>53730</v>
      </c>
      <c r="T201" s="6"/>
      <c r="U201" s="286">
        <f t="shared" ref="U201" si="108">+S201/K201</f>
        <v>7.5231343732891628E-2</v>
      </c>
      <c r="W201">
        <f t="shared" si="20"/>
        <v>191</v>
      </c>
      <c r="Y201" s="56"/>
    </row>
    <row r="202" spans="3:25" x14ac:dyDescent="0.3">
      <c r="C202" s="170">
        <f t="shared" si="15"/>
        <v>44101</v>
      </c>
      <c r="E202" s="284">
        <v>455626</v>
      </c>
      <c r="F202" s="7"/>
      <c r="G202" s="7">
        <v>202850</v>
      </c>
      <c r="H202" s="7"/>
      <c r="I202" s="7">
        <v>56587</v>
      </c>
      <c r="J202" s="287"/>
      <c r="K202" s="7">
        <f t="shared" ref="K202" si="109">SUM(E202:I202)</f>
        <v>715063</v>
      </c>
      <c r="L202" s="6"/>
      <c r="M202" s="481">
        <f t="shared" ref="M202" si="110">+(K202-K201)/K201</f>
        <v>1.212550598784369E-3</v>
      </c>
      <c r="N202" s="29"/>
      <c r="O202" s="29"/>
      <c r="P202" s="29"/>
      <c r="Q202" s="375">
        <f t="shared" ref="Q202" si="111">+K202-K201</f>
        <v>866</v>
      </c>
      <c r="R202" s="6"/>
      <c r="S202" s="7">
        <f>33131+16103+4501</f>
        <v>53735</v>
      </c>
      <c r="T202" s="6"/>
      <c r="U202" s="286">
        <f t="shared" ref="U202" si="112">+S202/K202</f>
        <v>7.5147224789983535E-2</v>
      </c>
      <c r="W202">
        <f t="shared" si="20"/>
        <v>192</v>
      </c>
      <c r="Y202" s="56"/>
    </row>
    <row r="203" spans="3:25" x14ac:dyDescent="0.3">
      <c r="C203" s="170">
        <f t="shared" si="15"/>
        <v>44102</v>
      </c>
      <c r="E203" s="284">
        <v>456460</v>
      </c>
      <c r="F203" s="7"/>
      <c r="G203" s="7">
        <v>204107</v>
      </c>
      <c r="H203" s="7"/>
      <c r="I203" s="7">
        <v>57147</v>
      </c>
      <c r="J203" s="287"/>
      <c r="K203" s="7">
        <f t="shared" ref="K203" si="113">SUM(E203:I203)</f>
        <v>717714</v>
      </c>
      <c r="L203" s="6"/>
      <c r="M203" s="481">
        <f t="shared" ref="M203" si="114">+(K203-K202)/K202</f>
        <v>3.7073656447054316E-3</v>
      </c>
      <c r="N203" s="29"/>
      <c r="O203" s="29"/>
      <c r="P203" s="29"/>
      <c r="Q203" s="375">
        <f t="shared" ref="Q203" si="115">+K203-K202</f>
        <v>2651</v>
      </c>
      <c r="R203" s="6"/>
      <c r="S203" s="7">
        <f>33140+16107+4503</f>
        <v>53750</v>
      </c>
      <c r="T203" s="6"/>
      <c r="U203" s="286">
        <f t="shared" ref="U203" si="116">+S203/K203</f>
        <v>7.4890555290826152E-2</v>
      </c>
      <c r="W203">
        <f t="shared" si="20"/>
        <v>193</v>
      </c>
      <c r="Y203" s="56"/>
    </row>
    <row r="204" spans="3:25" x14ac:dyDescent="0.3">
      <c r="C204" s="170">
        <f t="shared" si="15"/>
        <v>44103</v>
      </c>
      <c r="E204" s="284"/>
      <c r="F204" s="7"/>
      <c r="G204" s="7"/>
      <c r="H204" s="7"/>
      <c r="I204" s="7"/>
      <c r="J204" s="287"/>
      <c r="K204" s="7"/>
      <c r="L204" s="6"/>
      <c r="M204" s="481"/>
      <c r="N204" s="29"/>
      <c r="O204" s="29"/>
      <c r="P204" s="29"/>
      <c r="Q204" s="375"/>
      <c r="R204" s="6"/>
      <c r="S204" s="7"/>
      <c r="T204" s="6"/>
      <c r="U204" s="286"/>
      <c r="W204">
        <f t="shared" si="20"/>
        <v>194</v>
      </c>
      <c r="Y204" s="56"/>
    </row>
    <row r="205" spans="3:25" x14ac:dyDescent="0.3">
      <c r="C205" s="170">
        <f t="shared" si="15"/>
        <v>44104</v>
      </c>
      <c r="E205" s="284"/>
      <c r="F205" s="7"/>
      <c r="G205" s="7"/>
      <c r="H205" s="7"/>
      <c r="I205" s="7"/>
      <c r="J205" s="287"/>
      <c r="K205" s="7"/>
      <c r="L205" s="6"/>
      <c r="M205" s="481"/>
      <c r="N205" s="29"/>
      <c r="O205" s="29"/>
      <c r="P205" s="29"/>
      <c r="Q205" s="375"/>
      <c r="R205" s="6"/>
      <c r="S205" s="7"/>
      <c r="T205" s="6"/>
      <c r="U205" s="286"/>
      <c r="W205">
        <f t="shared" si="20"/>
        <v>195</v>
      </c>
      <c r="Y205" s="56"/>
    </row>
    <row r="206" spans="3:25" x14ac:dyDescent="0.3">
      <c r="C206" s="170">
        <f t="shared" si="15"/>
        <v>44105</v>
      </c>
      <c r="E206" s="284"/>
      <c r="F206" s="7"/>
      <c r="G206" s="7"/>
      <c r="H206" s="7"/>
      <c r="I206" s="7"/>
      <c r="J206" s="287"/>
      <c r="K206" s="7"/>
      <c r="L206" s="6"/>
      <c r="M206" s="481"/>
      <c r="N206" s="29"/>
      <c r="O206" s="29"/>
      <c r="P206" s="29"/>
      <c r="Q206" s="375"/>
      <c r="R206" s="6"/>
      <c r="S206" s="7"/>
      <c r="T206" s="6"/>
      <c r="U206" s="286"/>
      <c r="W206">
        <f t="shared" si="20"/>
        <v>196</v>
      </c>
      <c r="Y206" s="56"/>
    </row>
    <row r="207" spans="3:25" x14ac:dyDescent="0.3">
      <c r="C207" s="170">
        <f t="shared" si="15"/>
        <v>44106</v>
      </c>
      <c r="E207" s="284"/>
      <c r="F207" s="7"/>
      <c r="G207" s="7"/>
      <c r="H207" s="7"/>
      <c r="I207" s="7"/>
      <c r="J207" s="287"/>
      <c r="K207" s="7"/>
      <c r="L207" s="6"/>
      <c r="M207" s="481"/>
      <c r="N207" s="29"/>
      <c r="O207" s="29"/>
      <c r="P207" s="29"/>
      <c r="Q207" s="375"/>
      <c r="R207" s="6"/>
      <c r="S207" s="7"/>
      <c r="T207" s="6"/>
      <c r="U207" s="286"/>
      <c r="W207">
        <f t="shared" si="20"/>
        <v>197</v>
      </c>
      <c r="Y207" s="56"/>
    </row>
    <row r="208" spans="3:25" x14ac:dyDescent="0.3">
      <c r="C208" s="170">
        <f t="shared" si="15"/>
        <v>44107</v>
      </c>
      <c r="E208" s="284"/>
      <c r="F208" s="7"/>
      <c r="G208" s="7"/>
      <c r="H208" s="7"/>
      <c r="I208" s="7"/>
      <c r="J208" s="287"/>
      <c r="K208" s="7"/>
      <c r="L208" s="6"/>
      <c r="M208" s="474"/>
      <c r="N208" s="29"/>
      <c r="O208" s="29"/>
      <c r="P208" s="29"/>
      <c r="Q208" s="375"/>
      <c r="R208" s="6"/>
      <c r="S208" s="7"/>
      <c r="T208" s="6"/>
      <c r="U208" s="286"/>
      <c r="W208">
        <f t="shared" si="20"/>
        <v>198</v>
      </c>
      <c r="Y208" s="56"/>
    </row>
    <row r="209" spans="3:41" ht="15" thickBot="1" x14ac:dyDescent="0.35">
      <c r="C209" s="170">
        <f t="shared" si="15"/>
        <v>44108</v>
      </c>
      <c r="E209" s="288"/>
      <c r="F209" s="289"/>
      <c r="G209" s="289"/>
      <c r="H209" s="289"/>
      <c r="I209" s="289"/>
      <c r="J209" s="289"/>
      <c r="K209" s="289"/>
      <c r="L209" s="290"/>
      <c r="M209" s="291"/>
      <c r="N209" s="291"/>
      <c r="O209" s="291"/>
      <c r="P209" s="291"/>
      <c r="Q209" s="374"/>
      <c r="R209" s="290"/>
      <c r="S209" s="290"/>
      <c r="T209" s="290"/>
      <c r="U209" s="292"/>
      <c r="W209">
        <f t="shared" si="20"/>
        <v>199</v>
      </c>
      <c r="Y209" s="59"/>
    </row>
    <row r="210" spans="3:41" x14ac:dyDescent="0.3">
      <c r="E210" s="56"/>
      <c r="F210" s="1"/>
      <c r="G210" s="56"/>
      <c r="H210" s="56"/>
      <c r="I210" s="56"/>
      <c r="J210" s="1"/>
      <c r="K210" s="56"/>
      <c r="S210" s="56"/>
    </row>
    <row r="211" spans="3:41" x14ac:dyDescent="0.3">
      <c r="C211" s="179" t="s">
        <v>81</v>
      </c>
      <c r="E211" s="56">
        <f>+E203</f>
        <v>456460</v>
      </c>
      <c r="F211" s="56"/>
      <c r="G211" s="56">
        <f t="shared" ref="G211:U211" si="117">+G203</f>
        <v>204107</v>
      </c>
      <c r="H211" s="56">
        <f t="shared" si="117"/>
        <v>0</v>
      </c>
      <c r="I211" s="56">
        <f t="shared" si="117"/>
        <v>57147</v>
      </c>
      <c r="J211" s="56">
        <f t="shared" si="117"/>
        <v>0</v>
      </c>
      <c r="K211" s="56">
        <f t="shared" si="117"/>
        <v>717714</v>
      </c>
      <c r="L211" s="56">
        <f t="shared" si="117"/>
        <v>0</v>
      </c>
      <c r="M211" s="56">
        <f t="shared" si="117"/>
        <v>3.7073656447054316E-3</v>
      </c>
      <c r="N211" s="56">
        <f t="shared" si="117"/>
        <v>0</v>
      </c>
      <c r="O211" s="56">
        <f t="shared" si="117"/>
        <v>0</v>
      </c>
      <c r="P211" s="56">
        <f t="shared" si="117"/>
        <v>0</v>
      </c>
      <c r="Q211" s="56">
        <f t="shared" si="117"/>
        <v>2651</v>
      </c>
      <c r="R211" s="56">
        <f t="shared" si="117"/>
        <v>0</v>
      </c>
      <c r="S211" s="56">
        <f t="shared" si="117"/>
        <v>53750</v>
      </c>
      <c r="T211" s="56">
        <f t="shared" si="117"/>
        <v>0</v>
      </c>
      <c r="U211" s="56">
        <f t="shared" si="117"/>
        <v>7.4890555290826152E-2</v>
      </c>
      <c r="V211" s="56">
        <f t="shared" ref="G211:V211" si="118">+V199</f>
        <v>0</v>
      </c>
    </row>
    <row r="212" spans="3:41" x14ac:dyDescent="0.3">
      <c r="E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</row>
    <row r="213" spans="3:41" x14ac:dyDescent="0.3">
      <c r="E213" s="59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</row>
    <row r="214" spans="3:41" x14ac:dyDescent="0.3">
      <c r="C214" s="123"/>
      <c r="D214" s="124"/>
      <c r="E214" s="392"/>
      <c r="F214" s="10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</row>
    <row r="215" spans="3:41" x14ac:dyDescent="0.3">
      <c r="E215" s="56"/>
      <c r="K215" s="56"/>
      <c r="Q215" s="56"/>
    </row>
    <row r="216" spans="3:41" x14ac:dyDescent="0.3">
      <c r="Q216" s="56"/>
      <c r="S216" s="59"/>
    </row>
    <row r="219" spans="3:41" x14ac:dyDescent="0.3">
      <c r="AO219" s="1">
        <v>3797000</v>
      </c>
    </row>
    <row r="220" spans="3:41" x14ac:dyDescent="0.3">
      <c r="C220" s="1"/>
    </row>
    <row r="221" spans="3:41" x14ac:dyDescent="0.3">
      <c r="C221" s="1"/>
      <c r="AO221" s="1">
        <v>30000</v>
      </c>
    </row>
    <row r="222" spans="3:41" x14ac:dyDescent="0.3">
      <c r="C222" s="59"/>
    </row>
    <row r="223" spans="3:41" x14ac:dyDescent="0.3">
      <c r="AO223" s="277">
        <f>+AO221/AO219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200"/>
  <sheetViews>
    <sheetView topLeftCell="A121"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39" t="s">
        <v>114</v>
      </c>
      <c r="U3" s="640"/>
      <c r="V3" s="640"/>
      <c r="W3" s="640"/>
      <c r="X3" s="640"/>
      <c r="Y3" s="640"/>
      <c r="Z3" s="640"/>
      <c r="AA3" s="640"/>
      <c r="AB3" s="640"/>
      <c r="AC3" s="640"/>
      <c r="AD3" s="641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5.6921147545130175E-2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42" t="s">
        <v>104</v>
      </c>
      <c r="F15" s="642"/>
      <c r="G15" s="642"/>
      <c r="H15" s="642"/>
      <c r="I15" s="642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48" t="s">
        <v>46</v>
      </c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50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51" t="s">
        <v>75</v>
      </c>
      <c r="F19" s="651"/>
      <c r="G19" s="651"/>
      <c r="H19" s="651"/>
      <c r="I19" s="146" t="s">
        <v>74</v>
      </c>
      <c r="J19" s="147"/>
      <c r="K19" s="656" t="s">
        <v>72</v>
      </c>
      <c r="L19" s="656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Table'!H192</f>
        <v>6949001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Table'!AA209</f>
        <v>209801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14065</v>
      </c>
      <c r="J22" s="128"/>
      <c r="K22" s="139"/>
      <c r="L22" s="281">
        <v>14130</v>
      </c>
      <c r="M22" s="139"/>
      <c r="N22" s="159">
        <f>+(I22-L22)/I22</f>
        <v>-4.6214006398862424E-3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6725135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Table'!AP209</f>
        <v>4609636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52" t="s">
        <v>49</v>
      </c>
      <c r="E25" s="653"/>
      <c r="F25" s="653"/>
      <c r="G25" s="653"/>
      <c r="H25" s="653"/>
      <c r="I25" s="131">
        <f>+I23-I24</f>
        <v>2115499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4609636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52" t="s">
        <v>46</v>
      </c>
      <c r="E27" s="653"/>
      <c r="F27" s="653"/>
      <c r="G27" s="653"/>
      <c r="H27" s="653"/>
      <c r="I27" s="148">
        <f>+I25+I26</f>
        <v>6725135</v>
      </c>
      <c r="J27" s="128"/>
      <c r="K27" s="657">
        <v>6674080</v>
      </c>
      <c r="L27" s="657"/>
      <c r="M27" s="139"/>
      <c r="N27" s="149">
        <f>+I27-K27</f>
        <v>51055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54" t="s">
        <v>69</v>
      </c>
      <c r="F28" s="654"/>
      <c r="G28" s="654"/>
      <c r="H28" s="136"/>
      <c r="I28" s="274">
        <f>+I27/I32</f>
        <v>0.91454810807253029</v>
      </c>
      <c r="J28" s="139"/>
      <c r="K28" s="139"/>
      <c r="L28" s="139"/>
      <c r="M28" s="110"/>
      <c r="N28" s="506">
        <f>+N27/K27</f>
        <v>7.6497434852444085E-3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63" t="s">
        <v>114</v>
      </c>
      <c r="F31" s="664"/>
      <c r="G31" s="664"/>
      <c r="H31" s="664"/>
      <c r="I31" s="664"/>
      <c r="J31" s="665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58">
        <f>+'Main Table'!H209</f>
        <v>7353506</v>
      </c>
      <c r="J32" s="658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59">
        <f>+I27</f>
        <v>6725135</v>
      </c>
      <c r="J34" s="660"/>
      <c r="K34" s="22"/>
      <c r="L34" s="25">
        <f>+I34/$I$32</f>
        <v>0.91454810807253029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66">
        <f>+I21</f>
        <v>209801</v>
      </c>
      <c r="J35" s="667"/>
      <c r="K35" s="22"/>
      <c r="L35" s="25">
        <f>+I35/$I$32</f>
        <v>2.8530744382339525E-2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55" t="s">
        <v>114</v>
      </c>
      <c r="F36" s="655"/>
      <c r="G36" s="655"/>
      <c r="H36" s="275"/>
      <c r="I36" s="661">
        <f>+I32-I34-I35</f>
        <v>418570</v>
      </c>
      <c r="J36" s="662"/>
      <c r="K36" s="302"/>
      <c r="L36" s="276">
        <f>+I36/$I$32</f>
        <v>5.6921147545130175E-2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43" t="s">
        <v>127</v>
      </c>
      <c r="E41" s="644"/>
      <c r="F41" s="644"/>
      <c r="G41" s="644"/>
      <c r="H41" s="644"/>
      <c r="I41" s="644"/>
      <c r="J41" s="644"/>
      <c r="K41" s="644"/>
      <c r="L41" s="644"/>
      <c r="M41" s="644"/>
      <c r="N41" s="644"/>
      <c r="O41" s="645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46" t="s">
        <v>75</v>
      </c>
      <c r="F42" s="646"/>
      <c r="G42" s="646"/>
      <c r="H42" s="646"/>
      <c r="I42" s="303" t="s">
        <v>74</v>
      </c>
      <c r="J42" s="304"/>
      <c r="K42" s="647" t="s">
        <v>37</v>
      </c>
      <c r="L42" s="647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Table'!AP227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9" t="s">
        <v>49</v>
      </c>
      <c r="E48" s="670"/>
      <c r="F48" s="670"/>
      <c r="G48" s="670"/>
      <c r="H48" s="670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9" t="s">
        <v>46</v>
      </c>
      <c r="E50" s="670"/>
      <c r="F50" s="670"/>
      <c r="G50" s="670"/>
      <c r="H50" s="670"/>
      <c r="I50" s="383">
        <f>+I48+I49</f>
        <v>22172</v>
      </c>
      <c r="J50" s="379"/>
      <c r="K50" s="671">
        <v>30167</v>
      </c>
      <c r="L50" s="671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72" t="s">
        <v>69</v>
      </c>
      <c r="F51" s="672"/>
      <c r="G51" s="672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64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35" t="s">
        <v>128</v>
      </c>
      <c r="F54" s="636"/>
      <c r="G54" s="636"/>
      <c r="H54" s="636"/>
      <c r="I54" s="636"/>
      <c r="J54" s="637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73">
        <f>+K50</f>
        <v>30167</v>
      </c>
      <c r="J55" s="673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4">
        <f>+I50</f>
        <v>22172</v>
      </c>
      <c r="J57" s="675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6">
        <f>+I44</f>
        <v>1836</v>
      </c>
      <c r="J58" s="677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8" t="s">
        <v>114</v>
      </c>
      <c r="F59" s="678"/>
      <c r="G59" s="678"/>
      <c r="H59" s="310"/>
      <c r="I59" s="638">
        <f>+I55-I57-I58</f>
        <v>6159</v>
      </c>
      <c r="J59" s="679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80">
        <f>+I45</f>
        <v>1397</v>
      </c>
      <c r="J60" s="680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38">
        <f>+I59-I60</f>
        <v>4762</v>
      </c>
      <c r="J61" s="638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35" t="s">
        <v>117</v>
      </c>
      <c r="F64" s="636"/>
      <c r="G64" s="636"/>
      <c r="H64" s="636"/>
      <c r="I64" s="636"/>
      <c r="J64" s="636"/>
      <c r="K64" s="636"/>
      <c r="L64" s="636"/>
      <c r="M64" s="637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8">
        <v>11690000</v>
      </c>
      <c r="J65" s="668"/>
      <c r="K65" s="668"/>
      <c r="L65" s="668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34" t="s">
        <v>108</v>
      </c>
      <c r="G67" s="634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97" t="s">
        <v>131</v>
      </c>
      <c r="E72" s="698"/>
      <c r="F72" s="698"/>
      <c r="G72" s="698"/>
      <c r="H72" s="698"/>
      <c r="I72" s="698"/>
      <c r="J72" s="698"/>
      <c r="K72" s="698"/>
      <c r="L72" s="698"/>
      <c r="M72" s="698"/>
      <c r="N72" s="698"/>
      <c r="O72" s="699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700" t="s">
        <v>75</v>
      </c>
      <c r="F73" s="700"/>
      <c r="G73" s="700"/>
      <c r="H73" s="700"/>
      <c r="I73" s="398" t="s">
        <v>74</v>
      </c>
      <c r="J73" s="399"/>
      <c r="K73" s="701" t="s">
        <v>37</v>
      </c>
      <c r="L73" s="701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Table'!AP265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702" t="s">
        <v>49</v>
      </c>
      <c r="E79" s="703"/>
      <c r="F79" s="703"/>
      <c r="G79" s="703"/>
      <c r="H79" s="703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702" t="s">
        <v>46</v>
      </c>
      <c r="E81" s="703"/>
      <c r="F81" s="703"/>
      <c r="G81" s="703"/>
      <c r="H81" s="703"/>
      <c r="I81" s="413">
        <f>+I79+I80</f>
        <v>36684</v>
      </c>
      <c r="J81" s="406"/>
      <c r="K81" s="705">
        <v>48675</v>
      </c>
      <c r="L81" s="705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704" t="s">
        <v>69</v>
      </c>
      <c r="F82" s="704"/>
      <c r="G82" s="704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5.6921147545130175E-2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ref="AA139" si="9">+W138-W139</f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ref="AA140" si="10">+W139-W140</f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ref="AA141" si="11">+W140-W141</f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ref="AA142" si="12">+W141-W142</f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ref="AA143" si="13">+W142-W143</f>
        <v>14786</v>
      </c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ref="AA144" si="14">+W143-W144</f>
        <v>5645</v>
      </c>
      <c r="AB144" s="6"/>
      <c r="AC144" s="301"/>
      <c r="AD144" s="294"/>
    </row>
    <row r="145" spans="15:30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ref="AA145" si="15">+W144-W145</f>
        <v>-9097</v>
      </c>
      <c r="AB145" s="6"/>
      <c r="AC145" s="301"/>
      <c r="AD145" s="294"/>
    </row>
    <row r="146" spans="15:30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ref="AA146" si="16">+W145-W146</f>
        <v>-20945</v>
      </c>
      <c r="AB146" s="6"/>
      <c r="AC146" s="301"/>
      <c r="AD146" s="294"/>
    </row>
    <row r="147" spans="15:30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ref="AA147" si="17">+W146-W147</f>
        <v>-22858</v>
      </c>
      <c r="AB147" s="6"/>
      <c r="AC147" s="301"/>
      <c r="AD147" s="294"/>
    </row>
    <row r="148" spans="15:30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ref="AA148" si="18">+W147-W148</f>
        <v>-7195</v>
      </c>
      <c r="AB148" s="6"/>
      <c r="AC148" s="301"/>
      <c r="AD148" s="294"/>
    </row>
    <row r="149" spans="15:30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ref="AA149" si="19">+W148-W149</f>
        <v>64</v>
      </c>
      <c r="AB149" s="6"/>
      <c r="AC149" s="301"/>
      <c r="AD149" s="294"/>
    </row>
    <row r="150" spans="15:30" x14ac:dyDescent="0.3">
      <c r="O150" s="110"/>
      <c r="T150" s="293"/>
      <c r="U150" s="295">
        <f t="shared" si="3"/>
        <v>44095</v>
      </c>
      <c r="V150" s="6"/>
      <c r="W150" s="296">
        <v>409742</v>
      </c>
      <c r="X150" s="6"/>
      <c r="Y150" s="44">
        <v>5.8000000000000003E-2</v>
      </c>
      <c r="Z150" s="6"/>
      <c r="AA150" s="297">
        <f t="shared" ref="AA150" si="20">+W149-W150</f>
        <v>15674</v>
      </c>
      <c r="AB150" s="6"/>
      <c r="AC150" s="301"/>
      <c r="AD150" s="294"/>
    </row>
    <row r="151" spans="15:30" x14ac:dyDescent="0.3">
      <c r="O151" s="110"/>
      <c r="T151" s="293"/>
      <c r="U151" s="295">
        <f t="shared" si="3"/>
        <v>44096</v>
      </c>
      <c r="V151" s="6"/>
      <c r="W151" s="296">
        <v>406156</v>
      </c>
      <c r="X151" s="6"/>
      <c r="Y151" s="44">
        <v>5.7000000000000002E-2</v>
      </c>
      <c r="Z151" s="6"/>
      <c r="AA151" s="297">
        <f t="shared" ref="AA151" si="21">+W150-W151</f>
        <v>3586</v>
      </c>
      <c r="AB151" s="6"/>
      <c r="AC151" s="301"/>
      <c r="AD151" s="294"/>
    </row>
    <row r="152" spans="15:30" x14ac:dyDescent="0.3">
      <c r="O152" s="110"/>
      <c r="T152" s="293"/>
      <c r="U152" s="295">
        <f t="shared" si="3"/>
        <v>44097</v>
      </c>
      <c r="V152" s="6"/>
      <c r="W152" s="296">
        <v>406201</v>
      </c>
      <c r="X152" s="6"/>
      <c r="Y152" s="44">
        <v>5.7000000000000002E-2</v>
      </c>
      <c r="Z152" s="6"/>
      <c r="AA152" s="297">
        <f t="shared" ref="AA152" si="22">+W151-W152</f>
        <v>-45</v>
      </c>
      <c r="AB152" s="6"/>
      <c r="AC152" s="301"/>
      <c r="AD152" s="294"/>
    </row>
    <row r="153" spans="15:30" x14ac:dyDescent="0.3">
      <c r="O153" s="110"/>
      <c r="T153" s="293"/>
      <c r="U153" s="295">
        <f t="shared" si="3"/>
        <v>44098</v>
      </c>
      <c r="V153" s="6"/>
      <c r="W153" s="296">
        <v>423290</v>
      </c>
      <c r="X153" s="6"/>
      <c r="Y153" s="44">
        <v>5.8999999999999997E-2</v>
      </c>
      <c r="Z153" s="6"/>
      <c r="AA153" s="297">
        <f t="shared" ref="AA153" si="23">+W152-W153</f>
        <v>-17089</v>
      </c>
      <c r="AB153" s="6"/>
      <c r="AC153" s="301"/>
      <c r="AD153" s="294"/>
    </row>
    <row r="154" spans="15:30" x14ac:dyDescent="0.3">
      <c r="O154" s="110"/>
      <c r="T154" s="293"/>
      <c r="U154" s="295">
        <f t="shared" si="3"/>
        <v>44099</v>
      </c>
      <c r="V154" s="6"/>
      <c r="W154" s="296">
        <v>442034</v>
      </c>
      <c r="X154" s="6"/>
      <c r="Y154" s="44">
        <v>6.0999999999999999E-2</v>
      </c>
      <c r="Z154" s="6"/>
      <c r="AA154" s="297">
        <f t="shared" ref="AA154" si="24">+W153-W154</f>
        <v>-18744</v>
      </c>
      <c r="AB154" s="6"/>
      <c r="AC154" s="301"/>
      <c r="AD154" s="294"/>
    </row>
    <row r="155" spans="15:30" x14ac:dyDescent="0.3">
      <c r="O155" s="110"/>
      <c r="T155" s="293"/>
      <c r="U155" s="295">
        <f t="shared" si="3"/>
        <v>44100</v>
      </c>
      <c r="V155" s="6"/>
      <c r="W155" s="296">
        <v>445041</v>
      </c>
      <c r="X155" s="6"/>
      <c r="Y155" s="44">
        <v>6.0999999999999999E-2</v>
      </c>
      <c r="Z155" s="6"/>
      <c r="AA155" s="297">
        <f t="shared" ref="AA155" si="25">+W154-W155</f>
        <v>-3007</v>
      </c>
      <c r="AB155" s="6"/>
      <c r="AC155" s="301"/>
      <c r="AD155" s="294"/>
    </row>
    <row r="156" spans="15:30" x14ac:dyDescent="0.3">
      <c r="O156" s="110"/>
      <c r="T156" s="293"/>
      <c r="U156" s="295">
        <f t="shared" si="3"/>
        <v>44101</v>
      </c>
      <c r="V156" s="6"/>
      <c r="W156" s="296">
        <v>432562</v>
      </c>
      <c r="X156" s="6"/>
      <c r="Y156" s="44">
        <v>5.8999999999999997E-2</v>
      </c>
      <c r="Z156" s="6"/>
      <c r="AA156" s="297">
        <f t="shared" ref="AA156" si="26">+W155-W156</f>
        <v>12479</v>
      </c>
      <c r="AB156" s="6"/>
      <c r="AC156" s="301"/>
      <c r="AD156" s="294"/>
    </row>
    <row r="157" spans="15:30" x14ac:dyDescent="0.3">
      <c r="O157" s="110"/>
      <c r="T157" s="293"/>
      <c r="U157" s="295">
        <f t="shared" si="3"/>
        <v>44102</v>
      </c>
      <c r="V157" s="6"/>
      <c r="W157" s="296">
        <f>+I$36</f>
        <v>418570</v>
      </c>
      <c r="X157" s="6"/>
      <c r="Y157" s="44">
        <f>+L$36</f>
        <v>5.6921147545130175E-2</v>
      </c>
      <c r="Z157" s="6"/>
      <c r="AA157" s="297">
        <f t="shared" ref="AA157" si="27">+W156-W157</f>
        <v>13992</v>
      </c>
      <c r="AB157" s="6"/>
      <c r="AC157" s="301"/>
      <c r="AD157" s="294"/>
    </row>
    <row r="158" spans="15:30" x14ac:dyDescent="0.3">
      <c r="O158" s="110"/>
      <c r="T158" s="293"/>
      <c r="U158" s="295">
        <f t="shared" si="3"/>
        <v>44103</v>
      </c>
      <c r="V158" s="6"/>
      <c r="W158" s="296"/>
      <c r="X158" s="6"/>
      <c r="Y158" s="44"/>
      <c r="Z158" s="6"/>
      <c r="AA158" s="297"/>
      <c r="AB158" s="6"/>
      <c r="AC158" s="301"/>
      <c r="AD158" s="294"/>
    </row>
    <row r="159" spans="15:30" x14ac:dyDescent="0.3">
      <c r="O159" s="110"/>
      <c r="T159" s="293"/>
      <c r="U159" s="295">
        <f t="shared" si="3"/>
        <v>44104</v>
      </c>
      <c r="V159" s="6"/>
      <c r="W159" s="296"/>
      <c r="X159" s="6"/>
      <c r="Y159" s="44"/>
      <c r="Z159" s="6"/>
      <c r="AA159" s="297"/>
      <c r="AB159" s="6"/>
      <c r="AC159" s="301"/>
      <c r="AD159" s="294"/>
    </row>
    <row r="160" spans="15:30" x14ac:dyDescent="0.3">
      <c r="O160" s="110"/>
      <c r="T160" s="293"/>
      <c r="U160" s="295">
        <f t="shared" si="3"/>
        <v>44105</v>
      </c>
      <c r="V160" s="6"/>
      <c r="W160" s="296"/>
      <c r="X160" s="6"/>
      <c r="Y160" s="44"/>
      <c r="Z160" s="6"/>
      <c r="AA160" s="297"/>
      <c r="AB160" s="6"/>
      <c r="AC160" s="301"/>
      <c r="AD160" s="294"/>
    </row>
    <row r="161" spans="5:36" x14ac:dyDescent="0.3">
      <c r="O161" s="110"/>
      <c r="T161" s="293"/>
      <c r="U161" s="295">
        <f t="shared" si="3"/>
        <v>44106</v>
      </c>
      <c r="V161" s="6"/>
      <c r="W161" s="296"/>
      <c r="X161" s="6"/>
      <c r="Y161" s="44"/>
      <c r="Z161" s="6"/>
      <c r="AA161" s="297"/>
      <c r="AB161" s="6"/>
      <c r="AC161" s="301"/>
      <c r="AD161" s="294"/>
    </row>
    <row r="162" spans="5:36" x14ac:dyDescent="0.3">
      <c r="O162" s="110"/>
      <c r="T162" s="293"/>
      <c r="U162" s="295">
        <f t="shared" si="3"/>
        <v>44107</v>
      </c>
      <c r="V162" s="6"/>
      <c r="W162" s="296"/>
      <c r="X162" s="6"/>
      <c r="Y162" s="44"/>
      <c r="Z162" s="6"/>
      <c r="AA162" s="297"/>
      <c r="AB162" s="6"/>
      <c r="AC162" s="301"/>
      <c r="AD162" s="294"/>
    </row>
    <row r="163" spans="5:36" x14ac:dyDescent="0.3">
      <c r="O163" s="110"/>
      <c r="T163" s="293"/>
      <c r="U163" s="295">
        <f t="shared" si="3"/>
        <v>44108</v>
      </c>
      <c r="V163" s="6"/>
      <c r="W163" s="296"/>
      <c r="X163" s="6"/>
      <c r="Y163" s="44"/>
      <c r="Z163" s="6"/>
      <c r="AA163" s="297"/>
      <c r="AB163" s="6"/>
      <c r="AC163" s="301"/>
      <c r="AD163" s="294"/>
    </row>
    <row r="164" spans="5:36" ht="15" thickBot="1" x14ac:dyDescent="0.35">
      <c r="O164" s="110"/>
      <c r="T164" s="298"/>
      <c r="U164" s="393">
        <f t="shared" si="3"/>
        <v>44109</v>
      </c>
      <c r="V164" s="290"/>
      <c r="W164" s="394"/>
      <c r="X164" s="290"/>
      <c r="Y164" s="299"/>
      <c r="Z164" s="290"/>
      <c r="AA164" s="395"/>
      <c r="AB164" s="290"/>
      <c r="AC164" s="396"/>
      <c r="AD164" s="300"/>
    </row>
    <row r="165" spans="5:36" x14ac:dyDescent="0.3">
      <c r="O165" s="110"/>
    </row>
    <row r="166" spans="5:36" x14ac:dyDescent="0.3">
      <c r="O166" s="110"/>
      <c r="P166" s="57"/>
      <c r="Q166" s="57"/>
      <c r="R166" s="57"/>
    </row>
    <row r="167" spans="5:36" x14ac:dyDescent="0.3">
      <c r="O167" s="110"/>
    </row>
    <row r="168" spans="5:36" ht="15" thickBot="1" x14ac:dyDescent="0.35">
      <c r="O168" s="110"/>
    </row>
    <row r="169" spans="5:36" ht="15.6" thickTop="1" thickBot="1" x14ac:dyDescent="0.35">
      <c r="Q169" s="484"/>
      <c r="R169" s="485"/>
      <c r="S169" s="485"/>
      <c r="T169" s="485"/>
      <c r="U169" s="485"/>
      <c r="V169" s="485"/>
      <c r="W169" s="485"/>
      <c r="X169" s="485"/>
      <c r="Y169" s="485"/>
      <c r="Z169" s="485"/>
      <c r="AA169" s="485"/>
      <c r="AB169" s="486"/>
    </row>
    <row r="170" spans="5:36" ht="15" thickBot="1" x14ac:dyDescent="0.35">
      <c r="E170" s="684" t="s">
        <v>119</v>
      </c>
      <c r="F170" s="685"/>
      <c r="G170" s="685"/>
      <c r="H170" s="685"/>
      <c r="I170" s="685"/>
      <c r="J170" s="685"/>
      <c r="K170" s="685"/>
      <c r="L170" s="685"/>
      <c r="M170" s="686"/>
      <c r="Q170" s="487"/>
      <c r="R170" s="6"/>
      <c r="S170" s="6"/>
      <c r="T170" s="6"/>
      <c r="U170" s="5" t="s">
        <v>146</v>
      </c>
      <c r="V170" s="5"/>
      <c r="W170" s="5"/>
      <c r="X170" s="5"/>
      <c r="Y170" s="5"/>
      <c r="Z170" s="5"/>
      <c r="AA170" s="5" t="s">
        <v>30</v>
      </c>
      <c r="AB170" s="488"/>
    </row>
    <row r="171" spans="5:36" x14ac:dyDescent="0.3">
      <c r="E171" s="438"/>
      <c r="F171" s="439" t="s">
        <v>120</v>
      </c>
      <c r="G171" s="439"/>
      <c r="H171" s="439"/>
      <c r="I171" s="687">
        <v>21477737</v>
      </c>
      <c r="J171" s="687"/>
      <c r="K171" s="687"/>
      <c r="L171" s="687"/>
      <c r="M171" s="440"/>
      <c r="Q171" s="487"/>
      <c r="R171" s="480" t="s">
        <v>148</v>
      </c>
      <c r="S171" s="6"/>
      <c r="T171" s="6"/>
      <c r="U171" s="480" t="s">
        <v>147</v>
      </c>
      <c r="V171" s="5"/>
      <c r="W171" s="480" t="s">
        <v>20</v>
      </c>
      <c r="X171" s="5"/>
      <c r="Y171" s="480" t="s">
        <v>4</v>
      </c>
      <c r="Z171" s="5"/>
      <c r="AA171" s="489" t="s">
        <v>145</v>
      </c>
      <c r="AB171" s="488"/>
    </row>
    <row r="172" spans="5:36" x14ac:dyDescent="0.3">
      <c r="E172" s="438"/>
      <c r="F172" s="439" t="s">
        <v>110</v>
      </c>
      <c r="G172" s="439"/>
      <c r="H172" s="439"/>
      <c r="I172" s="439"/>
      <c r="J172" s="439"/>
      <c r="K172" s="439"/>
      <c r="L172" s="441">
        <f>+I184/I171</f>
        <v>4.5847474526762295E-4</v>
      </c>
      <c r="M172" s="440"/>
      <c r="Q172" s="487"/>
      <c r="R172" s="6" t="s">
        <v>135</v>
      </c>
      <c r="S172" s="6"/>
      <c r="T172" s="6"/>
      <c r="U172" s="7">
        <v>2003</v>
      </c>
      <c r="V172" s="6"/>
      <c r="W172" s="7">
        <v>389666</v>
      </c>
      <c r="X172" s="6"/>
      <c r="Y172" s="7">
        <v>31257</v>
      </c>
      <c r="Z172" s="6"/>
      <c r="AA172" s="296">
        <f>+AJ172</f>
        <v>19500</v>
      </c>
      <c r="AB172" s="488"/>
      <c r="AJ172" s="1">
        <v>19500</v>
      </c>
    </row>
    <row r="173" spans="5:36" x14ac:dyDescent="0.3">
      <c r="E173" s="438"/>
      <c r="F173" s="688" t="s">
        <v>108</v>
      </c>
      <c r="G173" s="688"/>
      <c r="H173" s="439"/>
      <c r="I173" s="439"/>
      <c r="J173" s="439"/>
      <c r="K173" s="439"/>
      <c r="L173" s="442">
        <f>+I184/(I171/100000)</f>
        <v>45.847474526762298</v>
      </c>
      <c r="M173" s="440"/>
      <c r="Q173" s="487"/>
      <c r="R173" s="6" t="s">
        <v>136</v>
      </c>
      <c r="S173" s="6"/>
      <c r="T173" s="6"/>
      <c r="U173" s="7">
        <v>1913</v>
      </c>
      <c r="V173" s="6"/>
      <c r="W173" s="7">
        <v>169892</v>
      </c>
      <c r="X173" s="6"/>
      <c r="Y173" s="7">
        <v>13076</v>
      </c>
      <c r="Z173" s="6"/>
      <c r="AA173" s="296">
        <f t="shared" ref="AA173:AA181" si="28">+AJ173</f>
        <v>8900</v>
      </c>
      <c r="AB173" s="488"/>
      <c r="AJ173" s="1">
        <v>8900</v>
      </c>
    </row>
    <row r="174" spans="5:36" x14ac:dyDescent="0.3">
      <c r="E174" s="438"/>
      <c r="F174" s="443"/>
      <c r="G174" s="443"/>
      <c r="H174" s="439"/>
      <c r="I174" s="439"/>
      <c r="J174" s="439"/>
      <c r="K174" s="439"/>
      <c r="L174" s="442"/>
      <c r="M174" s="440"/>
      <c r="Q174" s="487"/>
      <c r="R174" s="6" t="s">
        <v>137</v>
      </c>
      <c r="S174" s="6"/>
      <c r="T174" s="6"/>
      <c r="U174" s="7">
        <v>1568</v>
      </c>
      <c r="V174" s="6"/>
      <c r="W174" s="7">
        <v>16606</v>
      </c>
      <c r="X174" s="6"/>
      <c r="Y174" s="7">
        <v>912</v>
      </c>
      <c r="Z174" s="6"/>
      <c r="AA174" s="296">
        <f t="shared" si="28"/>
        <v>1100</v>
      </c>
      <c r="AB174" s="488"/>
      <c r="AJ174" s="1">
        <v>1100</v>
      </c>
    </row>
    <row r="175" spans="5:36" x14ac:dyDescent="0.3">
      <c r="E175" s="438"/>
      <c r="F175" s="443" t="s">
        <v>121</v>
      </c>
      <c r="G175" s="443"/>
      <c r="H175" s="688" t="s">
        <v>122</v>
      </c>
      <c r="I175" s="688"/>
      <c r="J175" s="439"/>
      <c r="K175" s="439"/>
      <c r="L175" s="442"/>
      <c r="M175" s="440"/>
      <c r="Q175" s="487"/>
      <c r="R175" s="6" t="s">
        <v>58</v>
      </c>
      <c r="S175" s="6"/>
      <c r="T175" s="6"/>
      <c r="U175" s="7">
        <v>1561</v>
      </c>
      <c r="V175" s="6"/>
      <c r="W175" s="7">
        <v>107611</v>
      </c>
      <c r="X175" s="6"/>
      <c r="Y175" s="7">
        <v>7937</v>
      </c>
      <c r="Z175" s="6"/>
      <c r="AA175" s="296">
        <f t="shared" si="28"/>
        <v>7000</v>
      </c>
      <c r="AB175" s="488"/>
      <c r="AJ175" s="1">
        <v>7000</v>
      </c>
    </row>
    <row r="176" spans="5:36" ht="15" thickBot="1" x14ac:dyDescent="0.35">
      <c r="E176" s="444"/>
      <c r="F176" s="445"/>
      <c r="G176" s="445"/>
      <c r="H176" s="445"/>
      <c r="I176" s="445"/>
      <c r="J176" s="445"/>
      <c r="K176" s="445"/>
      <c r="L176" s="445"/>
      <c r="M176" s="446"/>
      <c r="Q176" s="487"/>
      <c r="R176" s="6" t="s">
        <v>142</v>
      </c>
      <c r="S176" s="6"/>
      <c r="T176" s="6"/>
      <c r="U176" s="7">
        <v>1435</v>
      </c>
      <c r="V176" s="6"/>
      <c r="W176" s="7">
        <v>10128</v>
      </c>
      <c r="X176" s="6"/>
      <c r="Y176" s="7">
        <v>541</v>
      </c>
      <c r="Z176" s="6"/>
      <c r="AA176" s="296">
        <f t="shared" si="28"/>
        <v>700</v>
      </c>
      <c r="AB176" s="488"/>
      <c r="AJ176" s="1">
        <v>700</v>
      </c>
    </row>
    <row r="177" spans="4:36" x14ac:dyDescent="0.3">
      <c r="Q177" s="487"/>
      <c r="R177" s="6" t="s">
        <v>138</v>
      </c>
      <c r="S177" s="6"/>
      <c r="T177" s="6"/>
      <c r="U177" s="7">
        <v>1288</v>
      </c>
      <c r="V177" s="6"/>
      <c r="W177" s="7">
        <v>45913</v>
      </c>
      <c r="X177" s="6"/>
      <c r="Y177" s="7">
        <v>4287</v>
      </c>
      <c r="Z177" s="6"/>
      <c r="AA177" s="296">
        <f t="shared" si="28"/>
        <v>3600</v>
      </c>
      <c r="AB177" s="488"/>
      <c r="AJ177" s="1">
        <v>3600</v>
      </c>
    </row>
    <row r="178" spans="4:36" ht="15" thickBot="1" x14ac:dyDescent="0.35">
      <c r="D178" s="90"/>
      <c r="E178" s="151"/>
      <c r="F178" s="151"/>
      <c r="G178" s="151"/>
      <c r="H178" s="151"/>
      <c r="I178" s="353"/>
      <c r="J178" s="90"/>
      <c r="K178" s="110"/>
      <c r="L178" s="110"/>
      <c r="M178" s="110"/>
      <c r="N178" s="110"/>
      <c r="Q178" s="487"/>
      <c r="R178" s="6" t="s">
        <v>143</v>
      </c>
      <c r="S178" s="6"/>
      <c r="T178" s="6"/>
      <c r="U178" s="7">
        <v>1129</v>
      </c>
      <c r="V178" s="6"/>
      <c r="W178" s="7">
        <v>52477</v>
      </c>
      <c r="X178" s="6"/>
      <c r="Y178" s="7">
        <v>3152</v>
      </c>
      <c r="Z178" s="6"/>
      <c r="AA178" s="296">
        <f t="shared" si="28"/>
        <v>4600</v>
      </c>
      <c r="AB178" s="488"/>
      <c r="AJ178" s="1">
        <v>4600</v>
      </c>
    </row>
    <row r="179" spans="4:36" ht="16.2" thickBot="1" x14ac:dyDescent="0.35">
      <c r="D179" s="424"/>
      <c r="E179" s="689" t="s">
        <v>132</v>
      </c>
      <c r="F179" s="690"/>
      <c r="G179" s="690"/>
      <c r="H179" s="690"/>
      <c r="I179" s="690"/>
      <c r="J179" s="691"/>
      <c r="K179" s="425"/>
      <c r="L179" s="437" t="s">
        <v>10</v>
      </c>
      <c r="M179" s="426"/>
      <c r="N179" s="110"/>
      <c r="Q179" s="487"/>
      <c r="R179" s="6" t="s">
        <v>139</v>
      </c>
      <c r="S179" s="6"/>
      <c r="T179" s="6"/>
      <c r="U179" s="7">
        <v>1118</v>
      </c>
      <c r="V179" s="6"/>
      <c r="W179" s="7">
        <v>10889</v>
      </c>
      <c r="X179" s="6"/>
      <c r="Y179" s="7">
        <v>505</v>
      </c>
      <c r="Z179" s="6"/>
      <c r="AA179" s="296">
        <f t="shared" si="28"/>
        <v>980</v>
      </c>
      <c r="AB179" s="488"/>
      <c r="AJ179" s="1">
        <v>980</v>
      </c>
    </row>
    <row r="180" spans="4:36" x14ac:dyDescent="0.3">
      <c r="D180" s="403"/>
      <c r="E180" s="427" t="s">
        <v>88</v>
      </c>
      <c r="F180" s="16"/>
      <c r="G180" s="16"/>
      <c r="H180" s="16"/>
      <c r="I180" s="692">
        <f>+K81</f>
        <v>48675</v>
      </c>
      <c r="J180" s="692"/>
      <c r="K180" s="16"/>
      <c r="L180" s="60">
        <f>+I180/$I$180</f>
        <v>1</v>
      </c>
      <c r="M180" s="428"/>
      <c r="N180" s="110"/>
      <c r="Q180" s="487"/>
      <c r="R180" s="6" t="s">
        <v>140</v>
      </c>
      <c r="S180" s="6"/>
      <c r="T180" s="6"/>
      <c r="U180" s="7">
        <v>1093</v>
      </c>
      <c r="V180" s="6"/>
      <c r="W180" s="7">
        <v>138546</v>
      </c>
      <c r="X180" s="6"/>
      <c r="Y180" s="7">
        <v>6770</v>
      </c>
      <c r="Z180" s="6"/>
      <c r="AA180" s="296">
        <f t="shared" si="28"/>
        <v>12700</v>
      </c>
      <c r="AB180" s="488"/>
      <c r="AJ180" s="1">
        <v>12700</v>
      </c>
    </row>
    <row r="181" spans="4:36" x14ac:dyDescent="0.3">
      <c r="D181" s="403"/>
      <c r="E181" s="427"/>
      <c r="F181" s="16"/>
      <c r="G181" s="16"/>
      <c r="H181" s="16"/>
      <c r="I181" s="16"/>
      <c r="J181" s="16"/>
      <c r="K181" s="16"/>
      <c r="L181" s="16"/>
      <c r="M181" s="428"/>
      <c r="N181" s="110"/>
      <c r="Q181" s="487"/>
      <c r="R181" s="6" t="s">
        <v>141</v>
      </c>
      <c r="S181" s="6"/>
      <c r="T181" s="6"/>
      <c r="U181" s="490">
        <v>1081</v>
      </c>
      <c r="V181" s="6"/>
      <c r="W181" s="490">
        <v>65337</v>
      </c>
      <c r="X181" s="6"/>
      <c r="Y181" s="490">
        <v>3108</v>
      </c>
      <c r="Z181" s="6"/>
      <c r="AA181" s="491">
        <f t="shared" si="28"/>
        <v>6100</v>
      </c>
      <c r="AB181" s="488"/>
      <c r="AJ181" s="482">
        <v>6100</v>
      </c>
    </row>
    <row r="182" spans="4:36" x14ac:dyDescent="0.3">
      <c r="D182" s="415"/>
      <c r="E182" s="15"/>
      <c r="F182" s="429" t="s">
        <v>113</v>
      </c>
      <c r="G182" s="429"/>
      <c r="H182" s="15"/>
      <c r="I182" s="693">
        <f>+I81</f>
        <v>36684</v>
      </c>
      <c r="J182" s="694"/>
      <c r="K182" s="15"/>
      <c r="L182" s="60">
        <f>+I182/$I$180</f>
        <v>0.75365177195685673</v>
      </c>
      <c r="M182" s="408"/>
      <c r="N182" s="110"/>
      <c r="Q182" s="487"/>
      <c r="R182" s="5" t="s">
        <v>33</v>
      </c>
      <c r="S182" s="6"/>
      <c r="T182" s="6"/>
      <c r="U182" s="296">
        <f>+W182/(AA182/100)</f>
        <v>1545.0521632402579</v>
      </c>
      <c r="V182" s="6"/>
      <c r="W182" s="296">
        <f>SUM(W172:W181)</f>
        <v>1007065</v>
      </c>
      <c r="X182" s="6"/>
      <c r="Y182" s="296">
        <f>SUM(Y172:Y181)</f>
        <v>71545</v>
      </c>
      <c r="Z182" s="6"/>
      <c r="AA182" s="296">
        <f>SUM(AA172:AA181)</f>
        <v>65180</v>
      </c>
      <c r="AB182" s="488"/>
      <c r="AJ182" s="56">
        <f>SUM(AJ172:AJ181)</f>
        <v>65180</v>
      </c>
    </row>
    <row r="183" spans="4:36" x14ac:dyDescent="0.3">
      <c r="D183" s="415"/>
      <c r="E183" s="15"/>
      <c r="F183" s="15" t="s">
        <v>89</v>
      </c>
      <c r="G183" s="15"/>
      <c r="H183" s="15"/>
      <c r="I183" s="695">
        <f>+I75</f>
        <v>2144</v>
      </c>
      <c r="J183" s="696"/>
      <c r="K183" s="15"/>
      <c r="L183" s="60">
        <f>+I183/$I$180</f>
        <v>4.4047252182845401E-2</v>
      </c>
      <c r="M183" s="408"/>
      <c r="N183" s="110"/>
      <c r="Q183" s="487"/>
      <c r="R183" s="5"/>
      <c r="S183" s="6"/>
      <c r="T183" s="6"/>
      <c r="U183" s="6"/>
      <c r="V183" s="6"/>
      <c r="W183" s="296"/>
      <c r="X183" s="6"/>
      <c r="Y183" s="296"/>
      <c r="Z183" s="6"/>
      <c r="AA183" s="6"/>
      <c r="AB183" s="488"/>
      <c r="AJ183" s="56"/>
    </row>
    <row r="184" spans="4:36" ht="15" thickBot="1" x14ac:dyDescent="0.35">
      <c r="D184" s="415"/>
      <c r="E184" s="681" t="s">
        <v>114</v>
      </c>
      <c r="F184" s="681"/>
      <c r="G184" s="681"/>
      <c r="H184" s="15"/>
      <c r="I184" s="682">
        <f>+I180-I182-I183</f>
        <v>9847</v>
      </c>
      <c r="J184" s="683"/>
      <c r="K184" s="430"/>
      <c r="L184" s="431">
        <f>+I184/$I$180</f>
        <v>0.20230097586029788</v>
      </c>
      <c r="M184" s="408"/>
      <c r="N184" s="110"/>
      <c r="Q184" s="487"/>
      <c r="R184" s="5" t="s">
        <v>59</v>
      </c>
      <c r="S184" s="6"/>
      <c r="T184" s="6"/>
      <c r="U184" s="7">
        <v>7441</v>
      </c>
      <c r="V184" s="6"/>
      <c r="W184" s="7">
        <f>+'Main Table'!H106</f>
        <v>2465403</v>
      </c>
      <c r="X184" s="6"/>
      <c r="Y184" s="7">
        <f>+'Main Table'!AA106</f>
        <v>126977</v>
      </c>
      <c r="Z184" s="6"/>
      <c r="AA184" s="296">
        <v>331000</v>
      </c>
      <c r="AB184" s="488"/>
      <c r="AJ184" s="56">
        <v>333000</v>
      </c>
    </row>
    <row r="185" spans="4:36" ht="15.6" thickTop="1" thickBot="1" x14ac:dyDescent="0.35">
      <c r="D185" s="415"/>
      <c r="E185" s="432"/>
      <c r="F185" s="432"/>
      <c r="G185" s="432"/>
      <c r="H185" s="15"/>
      <c r="I185" s="433"/>
      <c r="J185" s="432"/>
      <c r="K185" s="430"/>
      <c r="L185" s="434"/>
      <c r="M185" s="408"/>
      <c r="N185" s="110"/>
      <c r="Q185" s="487"/>
      <c r="R185" s="5" t="s">
        <v>144</v>
      </c>
      <c r="S185" s="6"/>
      <c r="T185" s="6"/>
      <c r="U185" s="492"/>
      <c r="V185" s="6"/>
      <c r="W185" s="493">
        <f>+W182/W184</f>
        <v>0.40847885720914595</v>
      </c>
      <c r="X185" s="6"/>
      <c r="Y185" s="493">
        <f>+Y182/Y184</f>
        <v>0.56344849854698098</v>
      </c>
      <c r="Z185" s="6"/>
      <c r="AA185" s="493">
        <f>+AA182/AA184</f>
        <v>0.19691842900302114</v>
      </c>
      <c r="AB185" s="488"/>
      <c r="AJ185" s="483">
        <f>+AJ182/AJ184</f>
        <v>0.19573573573573574</v>
      </c>
    </row>
    <row r="186" spans="4:36" ht="15.6" thickTop="1" thickBot="1" x14ac:dyDescent="0.35">
      <c r="D186" s="435"/>
      <c r="E186" s="436"/>
      <c r="F186" s="436"/>
      <c r="G186" s="436"/>
      <c r="H186" s="436"/>
      <c r="I186" s="436"/>
      <c r="J186" s="436"/>
      <c r="K186" s="436"/>
      <c r="L186" s="436"/>
      <c r="M186" s="423"/>
      <c r="N186" s="110"/>
      <c r="Q186" s="494"/>
      <c r="R186" s="495"/>
      <c r="S186" s="495"/>
      <c r="T186" s="495"/>
      <c r="U186" s="495"/>
      <c r="V186" s="495"/>
      <c r="W186" s="495"/>
      <c r="X186" s="495"/>
      <c r="Y186" s="495"/>
      <c r="Z186" s="495"/>
      <c r="AA186" s="495"/>
      <c r="AB186" s="496"/>
    </row>
    <row r="190" spans="4:36" x14ac:dyDescent="0.3">
      <c r="F190" s="1">
        <v>1248371</v>
      </c>
    </row>
    <row r="191" spans="4:36" x14ac:dyDescent="0.3">
      <c r="W191" s="1"/>
    </row>
    <row r="192" spans="4:36" x14ac:dyDescent="0.3">
      <c r="F192">
        <v>700</v>
      </c>
    </row>
    <row r="193" spans="6:6" x14ac:dyDescent="0.3">
      <c r="F193" s="87">
        <f>+F192/F190</f>
        <v>5.6073074430597954E-4</v>
      </c>
    </row>
    <row r="195" spans="6:6" x14ac:dyDescent="0.3">
      <c r="F195" s="1">
        <v>60000</v>
      </c>
    </row>
    <row r="196" spans="6:6" x14ac:dyDescent="0.3">
      <c r="F196">
        <f>+F193*F195</f>
        <v>33.643844658358773</v>
      </c>
    </row>
    <row r="198" spans="6:6" x14ac:dyDescent="0.3">
      <c r="F198" s="1">
        <v>331000000</v>
      </c>
    </row>
    <row r="199" spans="6:6" x14ac:dyDescent="0.3">
      <c r="F199" s="56">
        <f>+W86</f>
        <v>811067</v>
      </c>
    </row>
    <row r="200" spans="6:6" x14ac:dyDescent="0.3">
      <c r="F200" s="57">
        <f>+F199/F198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184:G184"/>
    <mergeCell ref="I184:J184"/>
    <mergeCell ref="E170:M170"/>
    <mergeCell ref="I171:L171"/>
    <mergeCell ref="F173:G173"/>
    <mergeCell ref="E179:J179"/>
    <mergeCell ref="I180:J180"/>
    <mergeCell ref="I182:J182"/>
    <mergeCell ref="I183:J183"/>
    <mergeCell ref="H175:I17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77" t="s">
        <v>5</v>
      </c>
      <c r="C1" s="577"/>
      <c r="D1" s="577"/>
    </row>
    <row r="2" spans="2:31" ht="15.6" x14ac:dyDescent="0.3">
      <c r="B2" s="577" t="s">
        <v>6</v>
      </c>
      <c r="C2" s="577"/>
      <c r="D2" s="577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7" t="s">
        <v>23</v>
      </c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708"/>
      <c r="R12" s="708"/>
      <c r="S12" s="708"/>
      <c r="T12" s="708"/>
      <c r="U12" s="709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6" t="s">
        <v>62</v>
      </c>
      <c r="Z14" s="706"/>
      <c r="AA14" s="706"/>
      <c r="AB14" s="706"/>
      <c r="AC14" s="706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2020-08-27T12:00:07Z</cp:lastPrinted>
  <dcterms:created xsi:type="dcterms:W3CDTF">2020-03-28T00:34:23Z</dcterms:created>
  <dcterms:modified xsi:type="dcterms:W3CDTF">2020-09-29T09:44:31Z</dcterms:modified>
</cp:coreProperties>
</file>